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DieseArbeitsmappe" defaultThemeVersion="166925"/>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41" documentId="13_ncr:1_{363C0EFC-46CB-4622-9F9F-EEA3901C5ECA}" xr6:coauthVersionLast="47" xr6:coauthVersionMax="47" xr10:uidLastSave="{5A431778-1213-40E0-8DA1-93F40693B0B9}"/>
  <bookViews>
    <workbookView xWindow="-108" yWindow="-108" windowWidth="23256" windowHeight="12456" xr2:uid="{00000000-000D-0000-FFFF-FFFF00000000}"/>
  </bookViews>
  <sheets>
    <sheet name="Berechnung" sheetId="1" r:id="rId1"/>
    <sheet name="Auswahlwerte" sheetId="2" state="hidden" r:id="rId2"/>
    <sheet name="Parameter" sheetId="3" state="hidden" r:id="rId3"/>
  </sheets>
  <definedNames>
    <definedName name="Aktenzeichen">Berechnung!$A$5</definedName>
    <definedName name="AnzWeitereUHBerechtigte">Berechnung!$G$99</definedName>
    <definedName name="Arbeitstage_Jahr">Berechnung!$B$73</definedName>
    <definedName name="AuswahlBeitragsstufe">Berechnung!$B$95</definedName>
    <definedName name="AuswahlBetragsartEinkommenNST">Auswahlwerte!$E$3</definedName>
    <definedName name="AuswahlEinkommensjahr">Auswahlwerte!$B$3</definedName>
    <definedName name="Beitragsstufe">Auswahlwerte!$B$25</definedName>
    <definedName name="Berechnungsbeginn">Berechnung!$E$5</definedName>
    <definedName name="Berechnungsdatum">Berechnung!$C$5</definedName>
    <definedName name="Berechnungsende">Berechnung!$G$5</definedName>
    <definedName name="BetragsartEinkommenNST">Berechnung!$E$16</definedName>
    <definedName name="biskm1">Parameter!$C$3</definedName>
    <definedName name="biskm2">Parameter!$C$4</definedName>
    <definedName name="_xlnm.Print_Area" localSheetId="0">Berechnung!$A$2:$G$140</definedName>
    <definedName name="EinkommenBis">Berechnung!$E$11</definedName>
    <definedName name="Einkommensmonate">Berechnung!$G$11</definedName>
    <definedName name="Einkommenszeitraum">Berechnung!$A$11</definedName>
    <definedName name="EinkommenVon">Berechnung!$C$11</definedName>
    <definedName name="EKGruppeVJ§4">Parameter!$B$30</definedName>
    <definedName name="Fahrtstrecke">Berechnung!$B$71</definedName>
    <definedName name="GeburtsdatumJM">Berechnung!$C$8</definedName>
    <definedName name="JungerMensch">Berechnung!$A$8</definedName>
    <definedName name="kmPauschale">Parameter!$B$3</definedName>
    <definedName name="kmPauschale2">Parameter!$B$4</definedName>
    <definedName name="kmPauschale2JahrBis">Parameter!$E$4</definedName>
    <definedName name="kmPauschale2JahrVon">Parameter!$D$4</definedName>
    <definedName name="kmPauschale3">Parameter!$B$5</definedName>
    <definedName name="kmPauschale3JahrBis">Parameter!$E$5</definedName>
    <definedName name="kmPauschale3JahrVon">Parameter!$D$5</definedName>
    <definedName name="Kostenbeitragspflichtiger">Berechnung!$E$8</definedName>
    <definedName name="MaßgeblEinkGruppe">Parameter!$B$31</definedName>
    <definedName name="MaßgeblEinkommen">Berechnung!$G$91</definedName>
    <definedName name="ReduzierungWochengruppe">Parameter!#REF!</definedName>
    <definedName name="Standardanzahl_Arbeitstage">Parameter!$B$6</definedName>
    <definedName name="VorlEinkGruppeBez">Parameter!$C$26</definedName>
    <definedName name="VorlEinkommensgruppe">Parameter!$B$26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2" i="1" l="1"/>
  <c r="I5" i="1"/>
  <c r="J71" i="1" l="1"/>
  <c r="I8" i="1" l="1"/>
  <c r="C33" i="2" l="1"/>
  <c r="B33" i="2"/>
  <c r="E111" i="1" l="1"/>
  <c r="I111" i="1"/>
  <c r="I99" i="1" l="1"/>
  <c r="B128" i="1" l="1"/>
  <c r="B129" i="1"/>
  <c r="B130" i="1"/>
  <c r="B131" i="1"/>
  <c r="B132" i="1"/>
  <c r="B133" i="1"/>
  <c r="B134" i="1"/>
  <c r="B135" i="1"/>
  <c r="B136" i="1"/>
  <c r="B137" i="1"/>
  <c r="B138" i="1"/>
  <c r="B139" i="1"/>
  <c r="B140" i="1"/>
  <c r="B127" i="1"/>
  <c r="B126" i="1"/>
  <c r="J75" i="1" l="1"/>
  <c r="B28" i="3" l="1"/>
  <c r="B25" i="2"/>
  <c r="I95" i="1" l="1"/>
  <c r="E125" i="1"/>
  <c r="E95" i="1"/>
  <c r="B32" i="3"/>
  <c r="B73" i="1"/>
  <c r="E3" i="2" l="1"/>
  <c r="I16" i="1" l="1"/>
  <c r="J26" i="1"/>
  <c r="J18" i="1"/>
  <c r="J38" i="1"/>
  <c r="J36" i="1"/>
  <c r="J34" i="1"/>
  <c r="J32" i="1"/>
  <c r="J28" i="1"/>
  <c r="J40" i="1"/>
  <c r="J24" i="1"/>
  <c r="J30" i="1"/>
  <c r="A16" i="1"/>
  <c r="B6" i="2"/>
  <c r="B5" i="2"/>
  <c r="B3" i="2" s="1"/>
  <c r="C11" i="1" l="1"/>
  <c r="E11" i="1"/>
  <c r="A65" i="1"/>
  <c r="E42" i="1"/>
  <c r="D28" i="1"/>
  <c r="D30" i="1"/>
  <c r="D40" i="1"/>
  <c r="D38" i="1"/>
  <c r="D34" i="1"/>
  <c r="D36" i="1"/>
  <c r="D32" i="1"/>
  <c r="I42" i="1" l="1"/>
  <c r="A67" i="1"/>
  <c r="A44" i="1"/>
  <c r="G11" i="1"/>
  <c r="E75" i="1" s="1"/>
  <c r="E22" i="2"/>
  <c r="A40" i="1" s="1"/>
  <c r="E13" i="2"/>
  <c r="A22" i="1" s="1"/>
  <c r="E15" i="2"/>
  <c r="A26" i="1" s="1"/>
  <c r="E21" i="2"/>
  <c r="A38" i="1" s="1"/>
  <c r="E16" i="2"/>
  <c r="A28" i="1" s="1"/>
  <c r="E18" i="2"/>
  <c r="A32" i="1" s="1"/>
  <c r="E12" i="2"/>
  <c r="A20" i="1" s="1"/>
  <c r="E14" i="2"/>
  <c r="A24" i="1" s="1"/>
  <c r="E17" i="2"/>
  <c r="A30" i="1" s="1"/>
  <c r="E11" i="2"/>
  <c r="A18" i="1" s="1"/>
  <c r="E20" i="2"/>
  <c r="A36" i="1" s="1"/>
  <c r="E19" i="2"/>
  <c r="A34" i="1" s="1"/>
  <c r="A77" i="1" l="1"/>
  <c r="E77" i="1"/>
  <c r="A75" i="1"/>
  <c r="I113" i="1"/>
  <c r="G44" i="1"/>
  <c r="G50" i="1" s="1"/>
  <c r="C73" i="1"/>
  <c r="I11" i="1"/>
  <c r="E44" i="1"/>
  <c r="E85" i="1" l="1"/>
  <c r="I85" i="1" s="1"/>
  <c r="G63" i="1"/>
  <c r="E87" i="1" l="1"/>
  <c r="E89" i="1" s="1"/>
  <c r="G89" i="1" s="1"/>
  <c r="G91" i="1" l="1"/>
  <c r="G16" i="3" l="1"/>
  <c r="D35" i="3"/>
  <c r="G13" i="3"/>
  <c r="G15" i="3"/>
  <c r="G17" i="3"/>
  <c r="D38" i="3"/>
  <c r="G18" i="3"/>
  <c r="G23" i="3"/>
  <c r="G20" i="3"/>
  <c r="G24" i="3"/>
  <c r="D37" i="3"/>
  <c r="G19" i="3"/>
  <c r="G10" i="3"/>
  <c r="G22" i="3"/>
  <c r="G21" i="3"/>
  <c r="D36" i="3"/>
  <c r="G11" i="3"/>
  <c r="G12" i="3"/>
  <c r="G14" i="3"/>
  <c r="B26" i="3" l="1"/>
  <c r="B30" i="3" s="1"/>
  <c r="F24" i="3"/>
  <c r="E24" i="3"/>
  <c r="C24" i="3"/>
  <c r="D24" i="3"/>
  <c r="A105" i="1" l="1"/>
  <c r="C26" i="3"/>
  <c r="A97" i="1" s="1"/>
  <c r="A104" i="1" l="1"/>
  <c r="B31" i="3"/>
  <c r="A127" i="1" l="1"/>
  <c r="E127" i="1"/>
  <c r="E128" i="1"/>
  <c r="E129" i="1"/>
  <c r="E130" i="1"/>
  <c r="E131" i="1"/>
  <c r="E132" i="1"/>
  <c r="E133" i="1"/>
  <c r="E134" i="1"/>
  <c r="E135" i="1"/>
  <c r="E136" i="1"/>
  <c r="E137" i="1"/>
  <c r="E138" i="1"/>
  <c r="E139" i="1"/>
  <c r="E126" i="1"/>
  <c r="A140" i="1"/>
  <c r="A135" i="1"/>
  <c r="A130" i="1"/>
  <c r="A131" i="1"/>
  <c r="A126" i="1"/>
  <c r="A138" i="1"/>
  <c r="A107" i="1"/>
  <c r="C30" i="2"/>
  <c r="C27" i="2"/>
  <c r="G107" i="1" s="1"/>
  <c r="G111" i="1" s="1"/>
  <c r="G113" i="1" s="1"/>
  <c r="C29" i="2"/>
  <c r="C28" i="2"/>
  <c r="A128" i="1"/>
  <c r="A132" i="1"/>
  <c r="A129" i="1"/>
  <c r="A136" i="1"/>
  <c r="A139" i="1"/>
  <c r="A133" i="1"/>
  <c r="E140" i="1"/>
  <c r="A134" i="1"/>
  <c r="A137" i="1"/>
</calcChain>
</file>

<file path=xl/sharedStrings.xml><?xml version="1.0" encoding="utf-8"?>
<sst xmlns="http://schemas.openxmlformats.org/spreadsheetml/2006/main" count="198" uniqueCount="157">
  <si>
    <t>Aktenzeichen</t>
  </si>
  <si>
    <t>Geburtsdatum</t>
  </si>
  <si>
    <t>Junger Mensch</t>
  </si>
  <si>
    <t>Kostenbeitragspflichtige/r</t>
  </si>
  <si>
    <t>Einkommenszeitraum</t>
  </si>
  <si>
    <t>Auswahlwerte</t>
  </si>
  <si>
    <t>Härtefallzeitraum (§ 93 Abs. 4 Satz 4 SGB VIII)</t>
  </si>
  <si>
    <t>Wert</t>
  </si>
  <si>
    <t>Einkommen von</t>
  </si>
  <si>
    <t>Einkommen bis</t>
  </si>
  <si>
    <t>Bitte Eingabe!</t>
  </si>
  <si>
    <t>Solidaritätszuschlag</t>
  </si>
  <si>
    <t>Kirchensteuer</t>
  </si>
  <si>
    <t>Januar</t>
  </si>
  <si>
    <t>Februar</t>
  </si>
  <si>
    <t>März</t>
  </si>
  <si>
    <t>April</t>
  </si>
  <si>
    <t>Mai</t>
  </si>
  <si>
    <t>Juni</t>
  </si>
  <si>
    <t>Juli</t>
  </si>
  <si>
    <t>August</t>
  </si>
  <si>
    <t>September</t>
  </si>
  <si>
    <t>Oktober</t>
  </si>
  <si>
    <t>November</t>
  </si>
  <si>
    <t>Dezember</t>
  </si>
  <si>
    <t>Auswahlbegriff</t>
  </si>
  <si>
    <t>Text bei Wert 1</t>
  </si>
  <si>
    <t>Text bei Wert 2</t>
  </si>
  <si>
    <t>Erläuterung</t>
  </si>
  <si>
    <t>Monatsnummer</t>
  </si>
  <si>
    <t>Monatsname</t>
  </si>
  <si>
    <t>+</t>
  </si>
  <si>
    <t>Monatlicher Betrag</t>
  </si>
  <si>
    <t>Renten</t>
  </si>
  <si>
    <t>Zinsen / Dividende / Kapitalerlöse</t>
  </si>
  <si>
    <t>=</t>
  </si>
  <si>
    <t>÷</t>
  </si>
  <si>
    <t>Einkünfte aus Vermietung / Verpachtung</t>
  </si>
  <si>
    <t>Bruttoerwerbseinkommen</t>
  </si>
  <si>
    <t>Einkommen Betragsart</t>
  </si>
  <si>
    <t>Pflichtbeiträge zur Krankenversicherung</t>
  </si>
  <si>
    <t>Pflichtbeiträge zur Pflegepflichtversicherung</t>
  </si>
  <si>
    <t>Pflichtbeiträge zur Rentenversicherung</t>
  </si>
  <si>
    <t>Pflichtbeiträge zur Arbeitslosenversicherung</t>
  </si>
  <si>
    <t>./.</t>
  </si>
  <si>
    <t>Betragsart</t>
  </si>
  <si>
    <t>Weihnachts-, Urlaubsgeld, etc.</t>
  </si>
  <si>
    <t>Berechnung des Einkommens nach § 93 SGB VIII</t>
  </si>
  <si>
    <t>Jahreswerte</t>
  </si>
  <si>
    <t>Monatswerte</t>
  </si>
  <si>
    <t>Schuldverpflichtungen</t>
  </si>
  <si>
    <t>Maßgeblich ist der höhere Betrag</t>
  </si>
  <si>
    <t>Bitte wählen…</t>
  </si>
  <si>
    <t>Leistungsjahr (§ 93 Abs. 4 Satz 2 und 3 SGB VIII)</t>
  </si>
  <si>
    <t>Kostenbeitrag von</t>
  </si>
  <si>
    <t>Kostenbeitrag bis</t>
  </si>
  <si>
    <t>Vorjahr (§ 93 Abs. 4 Satz 1 SGB VIII)</t>
  </si>
  <si>
    <t>Berechnungsdatum</t>
  </si>
  <si>
    <t>Monate</t>
  </si>
  <si>
    <t>Beiträge zu öff./priv. Versicherungen o.ä. Einrichtungen</t>
  </si>
  <si>
    <t>Monatliche Belastungen gem. § 93 Abs. 3 SGB VIII insgesamt</t>
  </si>
  <si>
    <t>Pauschale Anerkennung (25% der Einkünfte nach § 93 Abs. 1 und 2 SGB VIII)</t>
  </si>
  <si>
    <t>Summe der Einkünfte gemäß § 93 Abs. 1 und 2 SGB VIII</t>
  </si>
  <si>
    <t>Lohn- / Einkommensteuer</t>
  </si>
  <si>
    <t>Einfache Fahrtstrecke zur Arbeitsstelle</t>
  </si>
  <si>
    <t>km</t>
  </si>
  <si>
    <t>Fahrten zur Arbeitsstelle im o.g. Zeitraum an</t>
  </si>
  <si>
    <t>Sonstige berufsbedingte Ausgaben</t>
  </si>
  <si>
    <t>Berechnungsparameter</t>
  </si>
  <si>
    <t>km-Pauschale für Fahrten zur Arbeit</t>
  </si>
  <si>
    <t>Bezeichnung</t>
  </si>
  <si>
    <t>Standardanzahl Arbeitstage pro Jahr</t>
  </si>
  <si>
    <t>Maßgebliches kostenbeitragsrelevantes Einkommen nach § 93 SGB VIII</t>
  </si>
  <si>
    <t>Sonstige anzuerkennende Belastungen</t>
  </si>
  <si>
    <t>www.kostenbeitrag.de</t>
  </si>
  <si>
    <t>Berechnungsvorlagen für die Jugendhilfe   -   Ein Service von</t>
  </si>
  <si>
    <t>Für die richtige Altersstufenzuordnung ist die Eingabe des korrekten Geburtsdatums des jungen Menschen sehr wichtig.</t>
  </si>
  <si>
    <t>Bedienungs- / Eingabehinweise</t>
  </si>
  <si>
    <t>Das hier ermittelte Einkommen ist Grundlage für die Einstufung in die Kostenbeitragstabelle.</t>
  </si>
  <si>
    <t>Untergebrachte Person</t>
  </si>
  <si>
    <t>die 1. vollstationär betreute Person</t>
  </si>
  <si>
    <t>die 2. vollstationär betreute Person</t>
  </si>
  <si>
    <t>die 3. vollstationär betreute Person</t>
  </si>
  <si>
    <t>eine teilstationär betreute Person</t>
  </si>
  <si>
    <t>Auswahlwert</t>
  </si>
  <si>
    <t>Kostenbeitragstabelle</t>
  </si>
  <si>
    <t>Gruppe</t>
  </si>
  <si>
    <t>Beitragsstufe 1 vollstationär</t>
  </si>
  <si>
    <t>Beitragsstufe 2 vollstationär</t>
  </si>
  <si>
    <t>Beitragsstufe 3 vollstationär</t>
  </si>
  <si>
    <t>Beitragsstufe 4 teilstationär</t>
  </si>
  <si>
    <t>Einkommensgruppe</t>
  </si>
  <si>
    <t>Maßgebliches Einkommen bis…</t>
  </si>
  <si>
    <t>Vorläufige Einkommensgruppe</t>
  </si>
  <si>
    <t>Anzahl weitere UH-Berechtigte</t>
  </si>
  <si>
    <t>Wählen Sie die Betragsart aus, damit die korrekten Bezeichnungen und Rechenformeln eingefügt werden.</t>
  </si>
  <si>
    <t>Schuldverpflichtungen und sonstige anzuerkennende Belastungen sind in nachgewiesener bzw. nach Ausübung pflichtgemäßen Ermessens zu berücksichtigender Höhe hier einzutragen.</t>
  </si>
  <si>
    <t>Es wird automatisch die Pauschale von 25 % der Einkünfte nach § 93 Abs. 1 und 2 SGB VIII oder die Summe der manuell erfassten Belastungen berücksichtigt - je nach dem, welcher Betrag höher ist.</t>
  </si>
  <si>
    <t>Treffen Sie die Auswahl aus Sicht des/der hier maßgeblichen Kostenbeitragspflichtigen.</t>
  </si>
  <si>
    <r>
      <t xml:space="preserve">Nachfolgend einzugeben sind nachgewiesene </t>
    </r>
    <r>
      <rPr>
        <u/>
        <sz val="10"/>
        <rFont val="Arial"/>
        <family val="2"/>
      </rPr>
      <t>Monats</t>
    </r>
    <r>
      <rPr>
        <sz val="10"/>
        <rFont val="Arial"/>
        <family val="2"/>
      </rPr>
      <t>beträge in angemessener Höhe (ohne Verletzung der Grundsätze einer wirtschaftlichen Lebensführung) für Versicherungen u.ä., die nicht bereits oben beim Einkommen nach § 93 Abs. 1 und 2 SGB VIII berücksichtigt sind</t>
    </r>
  </si>
  <si>
    <t>Beitragsstufe</t>
  </si>
  <si>
    <r>
      <t xml:space="preserve">Geben Sie die Anzahl der vor-/gleichrangig Berechtigten ein, die </t>
    </r>
    <r>
      <rPr>
        <u/>
        <sz val="10"/>
        <rFont val="Arial"/>
        <family val="2"/>
      </rPr>
      <t>nicht</t>
    </r>
    <r>
      <rPr>
        <sz val="10"/>
        <rFont val="Arial"/>
        <family val="2"/>
      </rPr>
      <t xml:space="preserve"> in stationärer Jugendhilfe untergebracht sind, sondern im Haushalt des/der Pflichtigen leben oder für die er/sie nachweislich Unterhalt zahlt (idR mdj. Geschwister, evtl. auch Halb- oder Stiefgeschwister des jungen Menschen).</t>
    </r>
  </si>
  <si>
    <t>vollstationär</t>
  </si>
  <si>
    <t>untergebrachte Personen</t>
  </si>
  <si>
    <t xml:space="preserve">Prozentsatz </t>
  </si>
  <si>
    <t>Kostenbeitrag</t>
  </si>
  <si>
    <t>teilstationär</t>
  </si>
  <si>
    <t>Abs. 3</t>
  </si>
  <si>
    <t>Abs. 2 Nr. 1</t>
  </si>
  <si>
    <t>Abs. 2 Nr. 2</t>
  </si>
  <si>
    <t>Abs. 2 Nr. 3</t>
  </si>
  <si>
    <t xml:space="preserve">§ 5 </t>
  </si>
  <si>
    <t xml:space="preserve">Einkommensgruppe </t>
  </si>
  <si>
    <t>Maßgebliches Einkommen</t>
  </si>
  <si>
    <t>Anmerkungen</t>
  </si>
  <si>
    <r>
      <t xml:space="preserve">Anzahl weiterer vor-/gleichrangig Berechtigter, für die eine Unterhaltspflicht, aber </t>
    </r>
    <r>
      <rPr>
        <u/>
        <sz val="12"/>
        <color theme="1" tint="0.34998626667073579"/>
        <rFont val="Arial"/>
        <family val="2"/>
      </rPr>
      <t>keine</t>
    </r>
    <r>
      <rPr>
        <sz val="12"/>
        <color theme="1" tint="0.34998626667073579"/>
        <rFont val="Arial"/>
        <family val="2"/>
      </rPr>
      <t xml:space="preserve"> Kostenbeitragspflicht besteht</t>
    </r>
  </si>
  <si>
    <t>Je nach Einkommensgruppe, Beitragsstufe und Anzahl weiterer Berechtigter wird hier die Zuordnung zur endgültigen Einkommensgruppe und der sich daraus ergebende Kostenbeitrag automatisch angegeben.</t>
  </si>
  <si>
    <t>Hier können Sie Erläuterungen zur Berechnung als Freitext eintragen.
Tipp: Mit Alt+Enter erzeugen Sie innerhalb dieser Zelle einen Zeilenumbruch.</t>
  </si>
  <si>
    <t>Vorl. KB</t>
  </si>
  <si>
    <t>Der junge Mensch ist für diese/n Pflichtige/n</t>
  </si>
  <si>
    <t>Plausibilitätshinweise</t>
  </si>
  <si>
    <r>
      <t xml:space="preserve">Wählen Sie den  Einkommenszeitraum aus, damit von- und bis-Datum sowie die Monate automatisch ermittelt werden. Bei der Auswahl "Härtefallzeitraum" müssen Sie von- und bis-Datum sowie Anzahl der Monate manuell eingeben. </t>
    </r>
    <r>
      <rPr>
        <u/>
        <sz val="10"/>
        <rFont val="Arial"/>
        <family val="2"/>
      </rPr>
      <t>Achtung:</t>
    </r>
    <r>
      <rPr>
        <sz val="10"/>
        <rFont val="Arial"/>
        <family val="2"/>
      </rPr>
      <t xml:space="preserve"> Damit überschreiben Sie auch die Formeln für die automatische Ermittlung! Bei jeder weiteren Änderung müssen Sie diese Daten dann jeweils manuell eintragen!</t>
    </r>
  </si>
  <si>
    <r>
      <rPr>
        <b/>
        <u/>
        <sz val="10"/>
        <rFont val="Arial"/>
        <family val="2"/>
      </rPr>
      <t>Grundsätzliche Hinweise:</t>
    </r>
    <r>
      <rPr>
        <b/>
        <sz val="10"/>
        <rFont val="Arial"/>
        <family val="2"/>
      </rPr>
      <t xml:space="preserve"> </t>
    </r>
    <r>
      <rPr>
        <sz val="10"/>
        <rFont val="Arial"/>
        <family val="2"/>
      </rPr>
      <t xml:space="preserve">
Pflichtfelder sind hellgrün schattiert.
In allen Auswahlfeldern (die beim Anklicken ausklappen) ist eine Auswahl zu treffen.
Arbeiten Sie von oben nach unten bzw. von links nach rechts.</t>
    </r>
  </si>
  <si>
    <t>Summe der Einkünfte gemäß § 93 Abs. 1 und 2 Nr. 1 - 2 SGB VIII</t>
  </si>
  <si>
    <t>zur Absicherung der Risiken</t>
  </si>
  <si>
    <t>Erläuterung / Anerkennung (nach Grund und Höhe angemessen)</t>
  </si>
  <si>
    <t>Gemäß § 93 Abs. 2 Nr. 3 SGB VIII zu berücksichtigende mtl. Beiträge zu öffentl. oder privaten Versicherungen oder ähnlichen Einrichtungen</t>
  </si>
  <si>
    <t>- Alter</t>
  </si>
  <si>
    <t>- Krankheit</t>
  </si>
  <si>
    <t>- Pflegebedürftigkeit</t>
  </si>
  <si>
    <t>- Arbeitslosigkeit</t>
  </si>
  <si>
    <t>Tragen Sie hier monatliche Beiträge zu den genannten Versicherungen ein, soweit diese nicht im vorherigen Abschnitt nach § 93 Abs. 1 und 2 Nr. 1 - 2 SGB VIII (im Gehaltsnachweis) bereits berücksichtigt sind.
Eine Anerkennung dieser Beiträge ist nur in einem dem Grund und der Höhe nach angemessenen Umfang möglich. Erläutern Sie etwaige Kürzungen in den entsprechenden Feldern bzw. im Bescheid.</t>
  </si>
  <si>
    <t>Sonstige monatliche Einkünfte</t>
  </si>
  <si>
    <t>Summe</t>
  </si>
  <si>
    <t>Die ermittelte Summe wird durch die Anzahl der oben angegebenen Einkommensmonate geteilt.</t>
  </si>
  <si>
    <t>Tragen Sie hier sonstige, oben noch nicht berücksichtigte monatliche Einkünfte ein.</t>
  </si>
  <si>
    <t>Wochengruppen</t>
  </si>
  <si>
    <t>Reduzierung %</t>
  </si>
  <si>
    <t>Festzusetzender Kostenbeitrag</t>
  </si>
  <si>
    <t>Einstufung in die Kostenbeitragstabelle und Festsetzung des Kostenbeitrags</t>
  </si>
  <si>
    <t>Zur Berücksichtigung hier rechnerisch nicht aufgeführter Unterhaltspflichten kann eine Reduzierung im Bescheid notwendig werden (z.B. Anerkennung von weiteren Belastungen / Verpflichtungen nach unterhaltsrechtlichen Maßstäben).</t>
  </si>
  <si>
    <t>Freilassung bei stationären Hilfen mit Wochengruppenunterbringung</t>
  </si>
  <si>
    <t>bis km</t>
  </si>
  <si>
    <t>km-Pauschale2 für Fahrten zur Arbeit</t>
  </si>
  <si>
    <t>Teilstationäre Hilfe (Tagesgruppe, JM lebt bei Kostenbeitragspflichtigen)</t>
  </si>
  <si>
    <t>Vollstationäre Unterbringung an 7 von 7 Tagen (Tag und Nacht)</t>
  </si>
  <si>
    <t>Vollstationär z.B. 5/7 Wochengruppe, sonst. lebt JM bei Kostenbeitragspflichtigen</t>
  </si>
  <si>
    <t>Vollstationär z.B. 5/7 Wochengruppe, sonst. lebt JM bei anderem Elternteil/Dritten</t>
  </si>
  <si>
    <t>Wählen Sie aus, ob der errechnete Kostenbeitrag aufgrund Wochengruppenunterbringung (z.B. 5 von 7 Tagen) zu reduzieren ist, falls der junge Mensch an den anderen Tagen im Haushalt des/der hier berechneten Kostenbeitragspflichtigen lebt.</t>
  </si>
  <si>
    <t>km-Pauschale3 für Fahrten zur Arbeit</t>
  </si>
  <si>
    <t>gültig von (Jahr)</t>
  </si>
  <si>
    <t>gültig bis (Jahr)</t>
  </si>
  <si>
    <t>KB ab Einkommensgruppe 15</t>
  </si>
  <si>
    <r>
      <t xml:space="preserve">Kostenbeitragsberechnung nach dem SGB VIII
</t>
    </r>
    <r>
      <rPr>
        <sz val="14"/>
        <color theme="0"/>
        <rFont val="Arial"/>
        <family val="2"/>
      </rPr>
      <t>für Elternteile des volljährigen jungen Menschen</t>
    </r>
  </si>
  <si>
    <t>EK-Gruppe nach § 4 Absatz 1</t>
  </si>
  <si>
    <t>Maßgebliche Einkommensgruppe § 6</t>
  </si>
  <si>
    <t>Gemäß § 4 Abs. 1 KostenbeitragsVO ist ein Einkommen der Gruppen 2 bis 6 für jede weitere Unterhaltspflicht einer um 2 Stufen niedrigeren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</si>
</sst>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0&quot; Monate&quot;"/>
    <numFmt numFmtId="165" formatCode="#,##0.00\ &quot;€&quot;"/>
    <numFmt numFmtId="166" formatCode="&quot;Stand: &quot;dd/mm/yyyy"/>
    <numFmt numFmtId="167" formatCode="&quot;Gültig ab: &quot;dd/mm/yyyy"/>
    <numFmt numFmtId="168" formatCode="#,##0.00_ ;[Red]\-#,##0.00\ "/>
  </numFmts>
  <fonts count="60" x14ac:knownFonts="1">
    <font>
      <sz val="11"/>
      <color theme="1"/>
      <name val="Calibri"/>
      <family val="2"/>
      <scheme val="minor"/>
    </font>
    <font>
      <sz val="10"/>
      <color theme="1"/>
      <name val="Arial"/>
      <family val="2"/>
    </font>
    <font>
      <sz val="12"/>
      <color theme="1" tint="0.499984740745262"/>
      <name val="Arial"/>
      <family val="2"/>
    </font>
    <font>
      <sz val="20"/>
      <color theme="0"/>
      <name val="Arial"/>
      <family val="2"/>
    </font>
    <font>
      <sz val="14"/>
      <color theme="1" tint="0.34998626667073579"/>
      <name val="Arial"/>
      <family val="2"/>
    </font>
    <font>
      <sz val="14"/>
      <color theme="1" tint="0.499984740745262"/>
      <name val="Arial"/>
      <family val="2"/>
    </font>
    <font>
      <sz val="10"/>
      <color theme="1" tint="0.499984740745262"/>
      <name val="Arial"/>
      <family val="2"/>
    </font>
    <font>
      <sz val="10"/>
      <color theme="0" tint="-0.499984740745262"/>
      <name val="Arial"/>
      <family val="2"/>
    </font>
    <font>
      <sz val="12"/>
      <color theme="4" tint="-0.499984740745262"/>
      <name val="Arial"/>
      <family val="2"/>
    </font>
    <font>
      <sz val="12"/>
      <name val="Arial"/>
      <family val="2"/>
    </font>
    <font>
      <sz val="16"/>
      <color theme="0"/>
      <name val="Arial"/>
      <family val="2"/>
    </font>
    <font>
      <sz val="16"/>
      <color theme="0" tint="-0.499984740745262"/>
      <name val="Arial"/>
      <family val="2"/>
    </font>
    <font>
      <sz val="16"/>
      <color theme="1" tint="0.34998626667073579"/>
      <name val="Arial"/>
      <family val="2"/>
    </font>
    <font>
      <sz val="16"/>
      <color theme="1" tint="0.499984740745262"/>
      <name val="Arial"/>
      <family val="2"/>
    </font>
    <font>
      <sz val="12"/>
      <color theme="1"/>
      <name val="Arial"/>
      <family val="2"/>
    </font>
    <font>
      <sz val="12"/>
      <color theme="1" tint="0.34998626667073579"/>
      <name val="Arial"/>
      <family val="2"/>
    </font>
    <font>
      <b/>
      <sz val="14"/>
      <color theme="1" tint="0.34998626667073579"/>
      <name val="Arial"/>
      <family val="2"/>
    </font>
    <font>
      <sz val="12"/>
      <color theme="4"/>
      <name val="Arial"/>
      <family val="2"/>
    </font>
    <font>
      <sz val="12"/>
      <color theme="0"/>
      <name val="Arial"/>
      <family val="2"/>
    </font>
    <font>
      <sz val="12"/>
      <color theme="0" tint="-0.499984740745262"/>
      <name val="Arial"/>
      <family val="2"/>
    </font>
    <font>
      <sz val="11"/>
      <color theme="1"/>
      <name val="Arial"/>
      <family val="2"/>
    </font>
    <font>
      <b/>
      <sz val="11"/>
      <color theme="1"/>
      <name val="Arial"/>
      <family val="2"/>
    </font>
    <font>
      <sz val="14"/>
      <color theme="0"/>
      <name val="Arial"/>
      <family val="2"/>
    </font>
    <font>
      <u/>
      <sz val="11"/>
      <color theme="10"/>
      <name val="Calibri"/>
      <family val="2"/>
      <scheme val="minor"/>
    </font>
    <font>
      <sz val="9"/>
      <name val="Arial"/>
      <family val="2"/>
    </font>
    <font>
      <u/>
      <sz val="9"/>
      <color theme="4"/>
      <name val="Arial"/>
      <family val="2"/>
    </font>
    <font>
      <b/>
      <sz val="12"/>
      <color theme="1" tint="0.34998626667073579"/>
      <name val="Arial"/>
      <family val="2"/>
    </font>
    <font>
      <b/>
      <sz val="12"/>
      <color theme="1" tint="0.499984740745262"/>
      <name val="Arial"/>
      <family val="2"/>
    </font>
    <font>
      <b/>
      <sz val="12"/>
      <color theme="4" tint="-0.499984740745262"/>
      <name val="Arial"/>
      <family val="2"/>
    </font>
    <font>
      <sz val="10"/>
      <name val="Arial"/>
      <family val="2"/>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Arial"/>
      <family val="2"/>
    </font>
    <font>
      <b/>
      <sz val="11"/>
      <name val="Arial"/>
      <family val="2"/>
    </font>
    <font>
      <u/>
      <sz val="12"/>
      <color theme="1" tint="0.34998626667073579"/>
      <name val="Arial"/>
      <family val="2"/>
    </font>
    <font>
      <b/>
      <sz val="10"/>
      <name val="Arial"/>
      <family val="2"/>
    </font>
    <font>
      <u/>
      <sz val="10"/>
      <name val="Arial"/>
      <family val="2"/>
    </font>
    <font>
      <sz val="8"/>
      <name val="Calibri"/>
      <family val="2"/>
      <scheme val="minor"/>
    </font>
    <font>
      <b/>
      <sz val="12"/>
      <color theme="1"/>
      <name val="Arial"/>
      <family val="2"/>
    </font>
    <font>
      <b/>
      <sz val="12"/>
      <name val="Arial"/>
      <family val="2"/>
    </font>
    <font>
      <sz val="10"/>
      <color rgb="FFC00000"/>
      <name val="Arial"/>
      <family val="2"/>
    </font>
    <font>
      <b/>
      <sz val="10"/>
      <color rgb="FFC00000"/>
      <name val="Arial"/>
      <family val="2"/>
    </font>
    <font>
      <b/>
      <u/>
      <sz val="10"/>
      <name val="Arial"/>
      <family val="2"/>
    </font>
  </fonts>
  <fills count="32">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249977111117893"/>
        <bgColor indexed="64"/>
      </patternFill>
    </fill>
  </fills>
  <borders count="18">
    <border>
      <left/>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s>
  <cellStyleXfs count="49">
    <xf numFmtId="0" fontId="0" fillId="0" borderId="0"/>
    <xf numFmtId="0" fontId="23" fillId="0" borderId="0" applyNumberFormat="0" applyFill="0" applyBorder="0" applyAlignment="0" applyProtection="0"/>
    <xf numFmtId="0" fontId="29" fillId="0" borderId="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25" borderId="4" applyNumberFormat="0" applyAlignment="0" applyProtection="0"/>
    <xf numFmtId="0" fontId="35" fillId="25" borderId="5" applyNumberFormat="0" applyAlignment="0" applyProtection="0"/>
    <xf numFmtId="0" fontId="36" fillId="12" borderId="5" applyNumberFormat="0" applyAlignment="0" applyProtection="0"/>
    <xf numFmtId="0" fontId="37" fillId="0" borderId="6" applyNumberFormat="0" applyFill="0" applyAlignment="0" applyProtection="0"/>
    <xf numFmtId="0" fontId="38" fillId="0" borderId="0" applyNumberFormat="0" applyFill="0" applyBorder="0" applyAlignment="0" applyProtection="0"/>
    <xf numFmtId="44" fontId="30" fillId="0" borderId="0" applyFont="0" applyFill="0" applyBorder="0" applyAlignment="0" applyProtection="0"/>
    <xf numFmtId="0" fontId="39" fillId="9" borderId="0" applyNumberFormat="0" applyBorder="0" applyAlignment="0" applyProtection="0"/>
    <xf numFmtId="0" fontId="31" fillId="0" borderId="0" applyNumberFormat="0" applyFill="0" applyBorder="0" applyAlignment="0" applyProtection="0">
      <alignment vertical="top"/>
      <protection locked="0"/>
    </xf>
    <xf numFmtId="0" fontId="40" fillId="26" borderId="0" applyNumberFormat="0" applyBorder="0" applyAlignment="0" applyProtection="0"/>
    <xf numFmtId="0" fontId="32" fillId="27" borderId="7" applyNumberFormat="0" applyFont="0" applyAlignment="0" applyProtection="0"/>
    <xf numFmtId="0" fontId="41" fillId="8" borderId="0" applyNumberFormat="0" applyBorder="0" applyAlignment="0" applyProtection="0"/>
    <xf numFmtId="0" fontId="30" fillId="0" borderId="0"/>
    <xf numFmtId="0" fontId="30" fillId="0" borderId="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44" fontId="30" fillId="0" borderId="0" applyFont="0" applyFill="0" applyBorder="0" applyAlignment="0" applyProtection="0"/>
    <xf numFmtId="0" fontId="47" fillId="0" borderId="0" applyNumberFormat="0" applyFill="0" applyBorder="0" applyAlignment="0" applyProtection="0"/>
    <xf numFmtId="0" fontId="48" fillId="28" borderId="12" applyNumberFormat="0" applyAlignment="0" applyProtection="0"/>
  </cellStyleXfs>
  <cellXfs count="174">
    <xf numFmtId="0" fontId="0" fillId="0" borderId="0" xfId="0"/>
    <xf numFmtId="0" fontId="20"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vertical="center"/>
    </xf>
    <xf numFmtId="0" fontId="20" fillId="0" borderId="0" xfId="0" applyFont="1" applyAlignment="1">
      <alignment horizontal="right" vertical="center"/>
    </xf>
    <xf numFmtId="0" fontId="50" fillId="0" borderId="13" xfId="39" applyFont="1" applyBorder="1" applyAlignment="1">
      <alignment horizontal="left" vertical="center"/>
    </xf>
    <xf numFmtId="168" fontId="49" fillId="0" borderId="13" xfId="39" applyNumberFormat="1" applyFont="1" applyBorder="1" applyAlignment="1">
      <alignment horizontal="left"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2" xfId="0" applyFont="1" applyBorder="1" applyAlignment="1">
      <alignment horizontal="center" vertical="center"/>
    </xf>
    <xf numFmtId="0" fontId="49" fillId="0" borderId="13" xfId="39" applyFont="1" applyBorder="1" applyAlignment="1">
      <alignment horizontal="right" vertical="center"/>
    </xf>
    <xf numFmtId="0" fontId="20" fillId="0" borderId="13" xfId="0" applyFont="1" applyBorder="1" applyAlignment="1">
      <alignment horizontal="right" vertical="center"/>
    </xf>
    <xf numFmtId="165" fontId="20" fillId="0" borderId="13" xfId="0" applyNumberFormat="1" applyFont="1" applyBorder="1" applyAlignment="1">
      <alignment horizontal="right" vertical="center"/>
    </xf>
    <xf numFmtId="0" fontId="55" fillId="0" borderId="13"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horizontal="right" vertical="center"/>
    </xf>
    <xf numFmtId="2" fontId="17" fillId="4" borderId="13" xfId="0" applyNumberFormat="1" applyFont="1" applyFill="1" applyBorder="1" applyAlignment="1" applyProtection="1">
      <alignment horizontal="right" vertical="center"/>
      <protection locked="0" hidden="1"/>
    </xf>
    <xf numFmtId="1" fontId="17" fillId="4" borderId="13" xfId="0" applyNumberFormat="1" applyFont="1" applyFill="1" applyBorder="1" applyAlignment="1" applyProtection="1">
      <alignment horizontal="right" vertical="center"/>
      <protection locked="0" hidden="1"/>
    </xf>
    <xf numFmtId="0" fontId="18" fillId="2" borderId="0" xfId="0" applyFont="1" applyFill="1" applyAlignment="1">
      <alignment horizontal="left" vertical="center"/>
    </xf>
    <xf numFmtId="0" fontId="14" fillId="0" borderId="0" xfId="0" applyFont="1" applyAlignment="1">
      <alignment vertical="center"/>
    </xf>
    <xf numFmtId="0" fontId="9" fillId="29" borderId="13" xfId="0" applyFont="1" applyFill="1" applyBorder="1" applyAlignment="1">
      <alignment vertical="center"/>
    </xf>
    <xf numFmtId="0" fontId="9" fillId="29" borderId="13" xfId="0" applyFont="1" applyFill="1" applyBorder="1" applyAlignment="1">
      <alignment horizontal="left" vertical="center"/>
    </xf>
    <xf numFmtId="0" fontId="9" fillId="0" borderId="3" xfId="0" applyFont="1" applyBorder="1" applyAlignment="1">
      <alignment horizontal="left" vertical="center"/>
    </xf>
    <xf numFmtId="0" fontId="2" fillId="0" borderId="0" xfId="0" applyFont="1" applyAlignment="1">
      <alignment vertical="center"/>
    </xf>
    <xf numFmtId="0" fontId="9" fillId="0" borderId="13" xfId="0" applyFont="1" applyBorder="1" applyAlignment="1">
      <alignment vertical="center"/>
    </xf>
    <xf numFmtId="0" fontId="56" fillId="0" borderId="13" xfId="0" applyFont="1" applyBorder="1" applyAlignment="1">
      <alignment horizontal="left" vertical="center"/>
    </xf>
    <xf numFmtId="0" fontId="9" fillId="0" borderId="0" xfId="0" applyFont="1" applyAlignment="1">
      <alignment horizontal="left" vertical="center"/>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9" fillId="0" borderId="0" xfId="0" applyFont="1" applyAlignment="1">
      <alignment vertical="center"/>
    </xf>
    <xf numFmtId="0" fontId="14" fillId="0" borderId="13" xfId="0" applyFont="1" applyBorder="1" applyAlignment="1">
      <alignment vertical="center" wrapText="1"/>
    </xf>
    <xf numFmtId="0" fontId="9" fillId="0" borderId="0" xfId="0" applyFont="1"/>
    <xf numFmtId="0" fontId="9" fillId="0" borderId="13" xfId="0" applyFont="1" applyBorder="1" applyAlignment="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9" fillId="0" borderId="0" xfId="0" applyFont="1" applyAlignment="1">
      <alignment horizontal="left"/>
    </xf>
    <xf numFmtId="0" fontId="9" fillId="0" borderId="0" xfId="0" applyFont="1" applyAlignment="1">
      <alignment vertical="center"/>
    </xf>
    <xf numFmtId="0" fontId="56" fillId="0" borderId="13" xfId="0" applyFont="1" applyBorder="1" applyAlignment="1">
      <alignment vertical="center"/>
    </xf>
    <xf numFmtId="0" fontId="14" fillId="0" borderId="0" xfId="0" applyFont="1" applyAlignment="1">
      <alignment horizontal="left" vertical="center"/>
    </xf>
    <xf numFmtId="0" fontId="14" fillId="0" borderId="13" xfId="0" applyFont="1" applyBorder="1" applyAlignment="1">
      <alignment horizontal="left" vertical="center"/>
    </xf>
    <xf numFmtId="165" fontId="14" fillId="0" borderId="13" xfId="0" applyNumberFormat="1" applyFont="1" applyBorder="1" applyAlignment="1">
      <alignment horizontal="left" vertical="center"/>
    </xf>
    <xf numFmtId="0" fontId="24" fillId="3" borderId="0" xfId="0" applyFont="1" applyFill="1" applyAlignment="1">
      <alignment vertical="center"/>
    </xf>
    <xf numFmtId="0" fontId="24" fillId="3" borderId="0" xfId="0" applyFont="1" applyFill="1" applyAlignment="1">
      <alignment horizontal="right" vertical="center"/>
    </xf>
    <xf numFmtId="166" fontId="24" fillId="3" borderId="0" xfId="0" applyNumberFormat="1" applyFont="1" applyFill="1" applyAlignment="1">
      <alignment vertical="center"/>
    </xf>
    <xf numFmtId="167" fontId="24" fillId="3" borderId="0" xfId="0" applyNumberFormat="1" applyFont="1" applyFill="1"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9" fillId="0" borderId="0" xfId="0" applyFont="1" applyAlignment="1">
      <alignment horizontal="right" vertical="center"/>
    </xf>
    <xf numFmtId="0" fontId="10" fillId="5" borderId="0" xfId="0" applyFont="1" applyFill="1" applyAlignment="1">
      <alignment vertical="center"/>
    </xf>
    <xf numFmtId="0" fontId="10" fillId="5" borderId="0" xfId="0" applyFont="1" applyFill="1" applyAlignment="1">
      <alignment horizontal="right" vertical="center"/>
    </xf>
    <xf numFmtId="0" fontId="11"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49" fontId="4" fillId="0" borderId="0" xfId="0" applyNumberFormat="1" applyFont="1" applyAlignment="1">
      <alignment horizontal="left" vertical="center"/>
    </xf>
    <xf numFmtId="8" fontId="8" fillId="6" borderId="0" xfId="0" applyNumberFormat="1" applyFont="1" applyFill="1" applyAlignment="1">
      <alignment horizontal="right" vertical="center"/>
    </xf>
    <xf numFmtId="0" fontId="27" fillId="0" borderId="0" xfId="0" applyFont="1" applyAlignment="1">
      <alignment vertical="center"/>
    </xf>
    <xf numFmtId="8" fontId="28" fillId="0" borderId="2" xfId="0" applyNumberFormat="1" applyFont="1" applyBorder="1" applyAlignment="1">
      <alignment horizontal="right" vertical="center"/>
    </xf>
    <xf numFmtId="0" fontId="26" fillId="0" borderId="16" xfId="0" applyFont="1" applyBorder="1" applyAlignment="1">
      <alignment vertical="center"/>
    </xf>
    <xf numFmtId="0" fontId="15" fillId="0" borderId="16" xfId="0" applyFont="1" applyBorder="1" applyAlignment="1">
      <alignment vertical="center"/>
    </xf>
    <xf numFmtId="14" fontId="17" fillId="4" borderId="1" xfId="0" applyNumberFormat="1" applyFont="1" applyFill="1" applyBorder="1" applyAlignment="1" applyProtection="1">
      <alignment horizontal="left" vertical="center"/>
      <protection locked="0"/>
    </xf>
    <xf numFmtId="8" fontId="17" fillId="4" borderId="1" xfId="0" applyNumberFormat="1" applyFont="1" applyFill="1" applyBorder="1" applyAlignment="1" applyProtection="1">
      <alignment horizontal="right" vertical="center"/>
      <protection locked="0"/>
    </xf>
    <xf numFmtId="14" fontId="17" fillId="30" borderId="1" xfId="0" applyNumberFormat="1"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protection locked="0"/>
    </xf>
    <xf numFmtId="0" fontId="17" fillId="30" borderId="1" xfId="0" applyFont="1" applyFill="1" applyBorder="1" applyAlignment="1" applyProtection="1">
      <alignment vertical="center"/>
      <protection locked="0"/>
    </xf>
    <xf numFmtId="0" fontId="17" fillId="30" borderId="1" xfId="0" applyFont="1" applyFill="1" applyBorder="1" applyAlignment="1" applyProtection="1">
      <alignment horizontal="right" vertical="center"/>
      <protection locked="0"/>
    </xf>
    <xf numFmtId="0" fontId="17" fillId="30" borderId="1" xfId="0" applyFont="1" applyFill="1" applyBorder="1" applyAlignment="1" applyProtection="1">
      <alignment horizontal="center" vertical="center"/>
      <protection locked="0"/>
    </xf>
    <xf numFmtId="49" fontId="30" fillId="0" borderId="0" xfId="0" applyNumberFormat="1" applyFont="1" applyAlignment="1">
      <alignment horizontal="left" vertical="center" wrapText="1"/>
    </xf>
    <xf numFmtId="0" fontId="17" fillId="4" borderId="1" xfId="0" applyFont="1" applyFill="1" applyBorder="1" applyAlignment="1" applyProtection="1">
      <alignment vertical="center"/>
      <protection locked="0"/>
    </xf>
    <xf numFmtId="0" fontId="6" fillId="0" borderId="0" xfId="0" applyFont="1" applyAlignment="1">
      <alignment horizontal="right" vertical="center"/>
    </xf>
    <xf numFmtId="0" fontId="15" fillId="0" borderId="0" xfId="0" applyFont="1" applyAlignment="1">
      <alignment horizontal="right" vertical="center"/>
    </xf>
    <xf numFmtId="49" fontId="52" fillId="4" borderId="0" xfId="0" applyNumberFormat="1" applyFont="1" applyFill="1" applyAlignment="1">
      <alignment horizontal="left" vertical="center" wrapText="1"/>
    </xf>
    <xf numFmtId="49" fontId="30" fillId="4" borderId="0" xfId="0" applyNumberFormat="1" applyFont="1" applyFill="1" applyAlignment="1">
      <alignment horizontal="left" vertical="center" wrapText="1"/>
    </xf>
    <xf numFmtId="49" fontId="30" fillId="4" borderId="0" xfId="0" applyNumberFormat="1" applyFont="1" applyFill="1" applyAlignment="1">
      <alignment vertical="center" wrapText="1"/>
    </xf>
    <xf numFmtId="49" fontId="30" fillId="4" borderId="0" xfId="0" applyNumberFormat="1" applyFont="1" applyFill="1" applyAlignment="1">
      <alignment vertical="top" wrapText="1"/>
    </xf>
    <xf numFmtId="0" fontId="30" fillId="4" borderId="0" xfId="0" applyFont="1" applyFill="1" applyAlignment="1">
      <alignment vertical="top" wrapText="1"/>
    </xf>
    <xf numFmtId="49" fontId="9" fillId="4" borderId="0" xfId="0" applyNumberFormat="1" applyFont="1" applyFill="1" applyAlignment="1">
      <alignment horizontal="left" vertical="center" wrapText="1"/>
    </xf>
    <xf numFmtId="0" fontId="57" fillId="4" borderId="0" xfId="0" applyFont="1" applyFill="1" applyAlignment="1">
      <alignment vertical="center"/>
    </xf>
    <xf numFmtId="49" fontId="57" fillId="4" borderId="0" xfId="0" applyNumberFormat="1" applyFont="1" applyFill="1" applyAlignment="1">
      <alignment horizontal="left" vertical="center" wrapText="1"/>
    </xf>
    <xf numFmtId="0" fontId="57" fillId="0" borderId="0" xfId="0" applyFont="1" applyAlignment="1">
      <alignment vertical="center"/>
    </xf>
    <xf numFmtId="0" fontId="1" fillId="6" borderId="0" xfId="0" applyFont="1" applyFill="1" applyAlignment="1">
      <alignment vertical="center"/>
    </xf>
    <xf numFmtId="0" fontId="1" fillId="6" borderId="0" xfId="0" applyFont="1" applyFill="1" applyAlignment="1">
      <alignment horizontal="right" vertical="center"/>
    </xf>
    <xf numFmtId="0" fontId="4" fillId="6" borderId="0" xfId="0" applyFont="1" applyFill="1" applyAlignment="1">
      <alignment vertical="center"/>
    </xf>
    <xf numFmtId="0" fontId="5" fillId="6" borderId="0" xfId="0" applyFont="1" applyFill="1" applyAlignment="1">
      <alignment vertical="center"/>
    </xf>
    <xf numFmtId="0" fontId="5" fillId="6" borderId="0" xfId="0" applyFont="1" applyFill="1" applyAlignment="1">
      <alignment horizontal="right" vertical="center"/>
    </xf>
    <xf numFmtId="0" fontId="9" fillId="6" borderId="0" xfId="0" applyFont="1" applyFill="1" applyAlignment="1">
      <alignment vertical="center"/>
    </xf>
    <xf numFmtId="0" fontId="11" fillId="6" borderId="0" xfId="0" applyFont="1" applyFill="1" applyAlignment="1">
      <alignment vertical="center"/>
    </xf>
    <xf numFmtId="0" fontId="7" fillId="6" borderId="0" xfId="0" applyFont="1" applyFill="1" applyAlignment="1">
      <alignment vertical="center"/>
    </xf>
    <xf numFmtId="0" fontId="13" fillId="6" borderId="0" xfId="0" applyFont="1" applyFill="1" applyAlignment="1">
      <alignment vertical="center"/>
    </xf>
    <xf numFmtId="0" fontId="2" fillId="6" borderId="0" xfId="0" applyFont="1" applyFill="1" applyAlignment="1">
      <alignment vertical="center"/>
    </xf>
    <xf numFmtId="0" fontId="27" fillId="6" borderId="0" xfId="0" applyFont="1" applyFill="1" applyAlignment="1">
      <alignment vertical="center"/>
    </xf>
    <xf numFmtId="0" fontId="14" fillId="6" borderId="0" xfId="0" applyFont="1" applyFill="1" applyAlignment="1">
      <alignment vertical="center"/>
    </xf>
    <xf numFmtId="0" fontId="6" fillId="6" borderId="0" xfId="0" applyFont="1" applyFill="1" applyAlignment="1">
      <alignment vertical="center"/>
    </xf>
    <xf numFmtId="0" fontId="7" fillId="6" borderId="0" xfId="0" applyFont="1" applyFill="1" applyAlignment="1">
      <alignment horizontal="right" vertical="center"/>
    </xf>
    <xf numFmtId="0" fontId="6" fillId="6" borderId="0" xfId="0" applyFont="1" applyFill="1" applyAlignment="1">
      <alignment horizontal="right" vertical="center"/>
    </xf>
    <xf numFmtId="0" fontId="4" fillId="6" borderId="0" xfId="0" applyFont="1" applyFill="1"/>
    <xf numFmtId="0" fontId="12" fillId="6" borderId="0" xfId="0" applyFont="1" applyFill="1" applyAlignment="1">
      <alignment vertical="center"/>
    </xf>
    <xf numFmtId="0" fontId="2" fillId="6" borderId="0" xfId="0" applyFont="1" applyFill="1" applyAlignment="1">
      <alignment horizontal="right" vertical="center"/>
    </xf>
    <xf numFmtId="0" fontId="14" fillId="6" borderId="0" xfId="0" applyFont="1" applyFill="1" applyAlignment="1">
      <alignment horizontal="right" vertical="center"/>
    </xf>
    <xf numFmtId="0" fontId="13" fillId="6" borderId="0" xfId="0" applyFont="1" applyFill="1" applyAlignment="1">
      <alignment horizontal="right" vertical="center"/>
    </xf>
    <xf numFmtId="0" fontId="12" fillId="6" borderId="0" xfId="0" applyFont="1" applyFill="1" applyAlignment="1">
      <alignment horizontal="right" vertical="center"/>
    </xf>
    <xf numFmtId="0" fontId="15" fillId="6" borderId="0" xfId="0" applyFont="1" applyFill="1" applyAlignment="1">
      <alignment vertical="center"/>
    </xf>
    <xf numFmtId="0" fontId="4" fillId="6" borderId="0" xfId="0" applyFont="1" applyFill="1" applyAlignment="1">
      <alignment horizontal="center" vertical="center"/>
    </xf>
    <xf numFmtId="0" fontId="6" fillId="6" borderId="0" xfId="0" applyFont="1" applyFill="1" applyAlignment="1">
      <alignment horizontal="center" vertical="center"/>
    </xf>
    <xf numFmtId="0" fontId="15" fillId="6" borderId="0" xfId="0" applyFont="1" applyFill="1" applyAlignment="1">
      <alignment horizontal="right" vertical="center"/>
    </xf>
    <xf numFmtId="49" fontId="6" fillId="6" borderId="0" xfId="0" applyNumberFormat="1" applyFont="1" applyFill="1" applyAlignment="1">
      <alignment horizontal="left" vertical="center"/>
    </xf>
    <xf numFmtId="0" fontId="6" fillId="6" borderId="0" xfId="0" applyFont="1" applyFill="1" applyAlignment="1">
      <alignment horizontal="left" vertical="center"/>
    </xf>
    <xf numFmtId="0" fontId="4" fillId="6" borderId="0" xfId="0" applyFont="1" applyFill="1" applyAlignment="1">
      <alignment horizontal="right" vertical="center"/>
    </xf>
    <xf numFmtId="8" fontId="8" fillId="6" borderId="0" xfId="0" applyNumberFormat="1" applyFont="1" applyFill="1" applyAlignment="1">
      <alignment horizontal="left" vertical="center"/>
    </xf>
    <xf numFmtId="0" fontId="4" fillId="6" borderId="0" xfId="0" applyFont="1" applyFill="1" applyAlignment="1">
      <alignment horizontal="left" vertical="center"/>
    </xf>
    <xf numFmtId="164" fontId="8" fillId="6" borderId="0" xfId="0" applyNumberFormat="1" applyFont="1" applyFill="1" applyAlignment="1">
      <alignment horizontal="right" vertical="center"/>
    </xf>
    <xf numFmtId="8" fontId="9" fillId="6" borderId="1" xfId="0" applyNumberFormat="1" applyFont="1" applyFill="1" applyBorder="1" applyAlignment="1">
      <alignment horizontal="right" vertical="center"/>
    </xf>
    <xf numFmtId="0" fontId="26" fillId="6" borderId="0" xfId="0" applyFont="1" applyFill="1" applyAlignment="1">
      <alignment vertical="center"/>
    </xf>
    <xf numFmtId="0" fontId="16" fillId="6" borderId="0" xfId="0" applyFont="1" applyFill="1" applyAlignment="1">
      <alignment vertical="center"/>
    </xf>
    <xf numFmtId="0" fontId="15" fillId="6" borderId="0" xfId="0" applyFont="1" applyFill="1" applyAlignment="1">
      <alignment horizontal="center" vertical="center"/>
    </xf>
    <xf numFmtId="0" fontId="27" fillId="6" borderId="0" xfId="0" applyFont="1" applyFill="1" applyAlignment="1">
      <alignment horizontal="right" vertical="center"/>
    </xf>
    <xf numFmtId="164" fontId="28" fillId="6" borderId="0" xfId="0" applyNumberFormat="1" applyFont="1" applyFill="1" applyAlignment="1">
      <alignment horizontal="right" vertical="center"/>
    </xf>
    <xf numFmtId="8" fontId="8" fillId="6" borderId="1" xfId="0" applyNumberFormat="1" applyFont="1" applyFill="1" applyBorder="1" applyAlignment="1">
      <alignment horizontal="right" vertical="center"/>
    </xf>
    <xf numFmtId="8" fontId="28" fillId="6" borderId="0" xfId="0" applyNumberFormat="1" applyFont="1" applyFill="1" applyAlignment="1">
      <alignment horizontal="right" vertical="center"/>
    </xf>
    <xf numFmtId="0" fontId="14" fillId="6" borderId="0" xfId="0" applyFont="1" applyFill="1" applyAlignment="1">
      <alignment horizontal="left" vertical="center"/>
    </xf>
    <xf numFmtId="0" fontId="17" fillId="6" borderId="0" xfId="0" applyFont="1" applyFill="1" applyAlignment="1">
      <alignment horizontal="left" vertical="center" wrapText="1"/>
    </xf>
    <xf numFmtId="49" fontId="29" fillId="4" borderId="0" xfId="0" applyNumberFormat="1" applyFont="1" applyFill="1" applyAlignment="1">
      <alignment vertical="center" wrapText="1"/>
    </xf>
    <xf numFmtId="0" fontId="15" fillId="6" borderId="0" xfId="0" quotePrefix="1" applyFont="1" applyFill="1" applyAlignment="1">
      <alignment vertical="center"/>
    </xf>
    <xf numFmtId="0" fontId="58" fillId="4" borderId="0" xfId="0" applyFont="1" applyFill="1" applyAlignment="1">
      <alignment vertical="center" wrapText="1"/>
    </xf>
    <xf numFmtId="0" fontId="6" fillId="6" borderId="0" xfId="0" applyFont="1" applyFill="1" applyAlignment="1">
      <alignment horizontal="right"/>
    </xf>
    <xf numFmtId="49" fontId="29" fillId="4" borderId="0" xfId="0" applyNumberFormat="1" applyFont="1" applyFill="1" applyAlignment="1">
      <alignment horizontal="left" vertical="center" wrapText="1"/>
    </xf>
    <xf numFmtId="8" fontId="28" fillId="0" borderId="0" xfId="0" applyNumberFormat="1" applyFont="1" applyAlignment="1">
      <alignment horizontal="right" vertical="center"/>
    </xf>
    <xf numFmtId="0" fontId="14" fillId="0" borderId="13" xfId="0" applyFont="1" applyBorder="1" applyAlignment="1">
      <alignment vertical="center"/>
    </xf>
    <xf numFmtId="0" fontId="9" fillId="29" borderId="17" xfId="0" applyFont="1" applyFill="1" applyBorder="1" applyAlignment="1">
      <alignment vertical="center"/>
    </xf>
    <xf numFmtId="0" fontId="29" fillId="4" borderId="0" xfId="0" applyFont="1" applyFill="1" applyAlignment="1">
      <alignment horizontal="left" vertical="center" wrapText="1"/>
    </xf>
    <xf numFmtId="0" fontId="17" fillId="4" borderId="13" xfId="0" applyFont="1" applyFill="1" applyBorder="1" applyAlignment="1" applyProtection="1">
      <alignment horizontal="right" vertical="center"/>
      <protection locked="0" hidden="1"/>
    </xf>
    <xf numFmtId="1" fontId="1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21" fillId="0" borderId="0" xfId="0" applyFont="1" applyAlignment="1">
      <alignment horizontal="center" vertical="center"/>
    </xf>
    <xf numFmtId="0" fontId="17" fillId="4" borderId="13" xfId="0" applyFont="1" applyFill="1" applyBorder="1" applyAlignment="1" applyProtection="1">
      <alignment horizontal="center" vertical="center"/>
      <protection locked="0" hidden="1"/>
    </xf>
    <xf numFmtId="0" fontId="15" fillId="6" borderId="0" xfId="0" applyFont="1" applyFill="1"/>
    <xf numFmtId="0" fontId="15" fillId="0" borderId="16" xfId="0" applyFont="1" applyBorder="1" applyAlignment="1">
      <alignment horizontal="right" vertical="center"/>
    </xf>
    <xf numFmtId="0" fontId="26" fillId="0" borderId="16" xfId="0" applyFont="1" applyBorder="1" applyAlignment="1">
      <alignment horizontal="right" vertical="center"/>
    </xf>
    <xf numFmtId="0" fontId="17" fillId="30" borderId="1" xfId="0" applyFont="1" applyFill="1" applyBorder="1" applyAlignment="1" applyProtection="1">
      <alignment horizontal="left" vertical="center"/>
      <protection locked="0"/>
    </xf>
    <xf numFmtId="49" fontId="29" fillId="4" borderId="0" xfId="0" applyNumberFormat="1" applyFont="1" applyFill="1" applyAlignment="1">
      <alignment vertical="top" wrapText="1"/>
    </xf>
    <xf numFmtId="0" fontId="58" fillId="4" borderId="0" xfId="0" applyFont="1" applyFill="1" applyAlignment="1">
      <alignment horizontal="left" vertical="center" wrapText="1"/>
    </xf>
    <xf numFmtId="0" fontId="17" fillId="4" borderId="0" xfId="0" applyFont="1" applyFill="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165" fontId="15" fillId="0" borderId="16" xfId="0" applyNumberFormat="1" applyFont="1" applyBorder="1" applyAlignment="1">
      <alignment horizontal="right" vertical="center"/>
    </xf>
    <xf numFmtId="49" fontId="29" fillId="4" borderId="0" xfId="0" applyNumberFormat="1" applyFont="1" applyFill="1" applyAlignment="1">
      <alignment vertical="center" wrapText="1"/>
    </xf>
    <xf numFmtId="49" fontId="30" fillId="4" borderId="0" xfId="0" applyNumberFormat="1" applyFont="1" applyFill="1" applyAlignment="1">
      <alignment vertical="center" wrapText="1"/>
    </xf>
    <xf numFmtId="0" fontId="30" fillId="4" borderId="0" xfId="0" applyFont="1" applyFill="1" applyAlignment="1">
      <alignment horizontal="left" vertical="top" wrapText="1"/>
    </xf>
    <xf numFmtId="0" fontId="30" fillId="4" borderId="0" xfId="0" applyFont="1" applyFill="1" applyAlignment="1">
      <alignment vertical="center" wrapText="1"/>
    </xf>
    <xf numFmtId="49" fontId="30" fillId="4" borderId="0" xfId="0" applyNumberFormat="1" applyFont="1" applyFill="1" applyAlignment="1">
      <alignment horizontal="left" vertical="center" wrapText="1"/>
    </xf>
    <xf numFmtId="0" fontId="15" fillId="6" borderId="0" xfId="0" applyFont="1" applyFill="1" applyAlignment="1">
      <alignment horizontal="right" vertical="center"/>
    </xf>
    <xf numFmtId="49" fontId="30" fillId="4" borderId="0" xfId="0" applyNumberFormat="1" applyFont="1" applyFill="1" applyAlignment="1">
      <alignment vertical="top" wrapText="1"/>
    </xf>
    <xf numFmtId="0" fontId="17" fillId="4" borderId="1" xfId="0" applyFont="1" applyFill="1" applyBorder="1" applyAlignment="1" applyProtection="1">
      <alignment horizontal="left" vertical="center"/>
      <protection locked="0"/>
    </xf>
    <xf numFmtId="0" fontId="6" fillId="6" borderId="0" xfId="0" applyFont="1" applyFill="1" applyAlignment="1">
      <alignment horizontal="right" vertical="center"/>
    </xf>
    <xf numFmtId="0" fontId="3" fillId="31" borderId="0" xfId="0" applyFont="1" applyFill="1" applyAlignment="1">
      <alignment vertical="center" wrapText="1"/>
    </xf>
    <xf numFmtId="0" fontId="57" fillId="4" borderId="0" xfId="0" applyFont="1" applyFill="1" applyAlignment="1">
      <alignment vertical="top" wrapText="1"/>
    </xf>
    <xf numFmtId="0" fontId="25" fillId="3" borderId="0" xfId="1" applyFont="1" applyFill="1" applyAlignment="1" applyProtection="1">
      <alignment horizontal="center" vertical="center"/>
    </xf>
    <xf numFmtId="0" fontId="4" fillId="6" borderId="0" xfId="0" applyFont="1" applyFill="1" applyAlignment="1">
      <alignment horizontal="left" vertical="center"/>
    </xf>
    <xf numFmtId="0" fontId="17" fillId="4" borderId="1" xfId="0" applyFont="1" applyFill="1" applyBorder="1" applyAlignment="1" applyProtection="1">
      <alignment vertical="center"/>
      <protection locked="0"/>
    </xf>
    <xf numFmtId="0" fontId="6" fillId="6" borderId="0" xfId="0" applyFont="1" applyFill="1" applyAlignment="1">
      <alignment vertical="center"/>
    </xf>
    <xf numFmtId="0" fontId="6" fillId="6" borderId="0" xfId="0" applyFont="1" applyFill="1" applyAlignment="1">
      <alignment horizontal="left" vertical="center"/>
    </xf>
    <xf numFmtId="0" fontId="18" fillId="2" borderId="0" xfId="0" applyFont="1" applyFill="1" applyAlignment="1">
      <alignment vertical="center"/>
    </xf>
    <xf numFmtId="0" fontId="20" fillId="0" borderId="15" xfId="0" applyFont="1" applyBorder="1" applyAlignment="1">
      <alignment horizontal="left" vertical="center"/>
    </xf>
    <xf numFmtId="0" fontId="20" fillId="0" borderId="13" xfId="0" applyFont="1" applyBorder="1" applyAlignment="1">
      <alignment horizontal="left" vertical="center"/>
    </xf>
  </cellXfs>
  <cellStyles count="49">
    <cellStyle name="20 % - Akzent1 2" xfId="3" xr:uid="{00000000-0005-0000-0000-000000000000}"/>
    <cellStyle name="20 % - Akzent2 2" xfId="4" xr:uid="{00000000-0005-0000-0000-000001000000}"/>
    <cellStyle name="20 % - Akzent3 2" xfId="5" xr:uid="{00000000-0005-0000-0000-000002000000}"/>
    <cellStyle name="20 % - Akzent4 2" xfId="6" xr:uid="{00000000-0005-0000-0000-000003000000}"/>
    <cellStyle name="20 % - Akzent5 2" xfId="7" xr:uid="{00000000-0005-0000-0000-000004000000}"/>
    <cellStyle name="20 % - Akzent6 2" xfId="8" xr:uid="{00000000-0005-0000-0000-000005000000}"/>
    <cellStyle name="40 % - Akzent1 2" xfId="9" xr:uid="{00000000-0005-0000-0000-000006000000}"/>
    <cellStyle name="40 % - Akzent2 2" xfId="10" xr:uid="{00000000-0005-0000-0000-000007000000}"/>
    <cellStyle name="40 % - Akzent3 2" xfId="11" xr:uid="{00000000-0005-0000-0000-000008000000}"/>
    <cellStyle name="40 % - Akzent4 2" xfId="12" xr:uid="{00000000-0005-0000-0000-000009000000}"/>
    <cellStyle name="40 % - Akzent5 2" xfId="13" xr:uid="{00000000-0005-0000-0000-00000A000000}"/>
    <cellStyle name="40 % - Akzent6 2" xfId="14" xr:uid="{00000000-0005-0000-0000-00000B000000}"/>
    <cellStyle name="60 % - Akzent1 2" xfId="15" xr:uid="{00000000-0005-0000-0000-00000C000000}"/>
    <cellStyle name="60 % - Akzent2 2" xfId="16" xr:uid="{00000000-0005-0000-0000-00000D000000}"/>
    <cellStyle name="60 % - Akzent3 2" xfId="17" xr:uid="{00000000-0005-0000-0000-00000E000000}"/>
    <cellStyle name="60 % - Akzent4 2" xfId="18" xr:uid="{00000000-0005-0000-0000-00000F000000}"/>
    <cellStyle name="60 % - Akzent5 2" xfId="19" xr:uid="{00000000-0005-0000-0000-000010000000}"/>
    <cellStyle name="60 % - Akzent6 2" xfId="20" xr:uid="{00000000-0005-0000-0000-000011000000}"/>
    <cellStyle name="Akzent1 2" xfId="21" xr:uid="{00000000-0005-0000-0000-000012000000}"/>
    <cellStyle name="Akzent2 2" xfId="22" xr:uid="{00000000-0005-0000-0000-000013000000}"/>
    <cellStyle name="Akzent3 2" xfId="23" xr:uid="{00000000-0005-0000-0000-000014000000}"/>
    <cellStyle name="Akzent4 2" xfId="24" xr:uid="{00000000-0005-0000-0000-000015000000}"/>
    <cellStyle name="Akzent5 2" xfId="25" xr:uid="{00000000-0005-0000-0000-000016000000}"/>
    <cellStyle name="Akzent6 2" xfId="26" xr:uid="{00000000-0005-0000-0000-000017000000}"/>
    <cellStyle name="Ausgabe 2" xfId="27" xr:uid="{00000000-0005-0000-0000-000018000000}"/>
    <cellStyle name="Berechnung 2" xfId="28" xr:uid="{00000000-0005-0000-0000-000019000000}"/>
    <cellStyle name="Eingabe 2" xfId="29" xr:uid="{00000000-0005-0000-0000-00001A000000}"/>
    <cellStyle name="Ergebnis 2" xfId="30" xr:uid="{00000000-0005-0000-0000-00001B000000}"/>
    <cellStyle name="Erklärender Text 2" xfId="31" xr:uid="{00000000-0005-0000-0000-00001C000000}"/>
    <cellStyle name="Euro" xfId="32" xr:uid="{00000000-0005-0000-0000-00001D000000}"/>
    <cellStyle name="Gut 2" xfId="33" xr:uid="{00000000-0005-0000-0000-00001E000000}"/>
    <cellStyle name="Hyperlink 2" xfId="34" xr:uid="{00000000-0005-0000-0000-000020000000}"/>
    <cellStyle name="Link" xfId="1" builtinId="8"/>
    <cellStyle name="Neutral 2" xfId="35" xr:uid="{00000000-0005-0000-0000-000021000000}"/>
    <cellStyle name="Notiz 2" xfId="36" xr:uid="{00000000-0005-0000-0000-000022000000}"/>
    <cellStyle name="Schlecht 2" xfId="37" xr:uid="{00000000-0005-0000-0000-000023000000}"/>
    <cellStyle name="Standard" xfId="0" builtinId="0"/>
    <cellStyle name="Standard 2" xfId="38" xr:uid="{00000000-0005-0000-0000-000025000000}"/>
    <cellStyle name="Standard 3" xfId="2" xr:uid="{00000000-0005-0000-0000-000026000000}"/>
    <cellStyle name="Standard_Neue Version AK Heranziehung" xfId="39" xr:uid="{00000000-0005-0000-0000-000027000000}"/>
    <cellStyle name="Überschrift 1 2" xfId="41" xr:uid="{00000000-0005-0000-0000-000028000000}"/>
    <cellStyle name="Überschrift 2 2" xfId="42" xr:uid="{00000000-0005-0000-0000-000029000000}"/>
    <cellStyle name="Überschrift 3 2" xfId="43" xr:uid="{00000000-0005-0000-0000-00002A000000}"/>
    <cellStyle name="Überschrift 4 2" xfId="44" xr:uid="{00000000-0005-0000-0000-00002B000000}"/>
    <cellStyle name="Überschrift 5" xfId="40" xr:uid="{00000000-0005-0000-0000-00002C000000}"/>
    <cellStyle name="Verknüpfte Zelle 2" xfId="45" xr:uid="{00000000-0005-0000-0000-00002D000000}"/>
    <cellStyle name="Währung 2" xfId="46" xr:uid="{00000000-0005-0000-0000-00002E000000}"/>
    <cellStyle name="Warnender Text 2" xfId="47" xr:uid="{00000000-0005-0000-0000-00002F000000}"/>
    <cellStyle name="Zelle überprüfen 2" xfId="48" xr:uid="{00000000-0005-0000-0000-000030000000}"/>
  </cellStyles>
  <dxfs count="36">
    <dxf>
      <font>
        <color rgb="FFC00000"/>
      </font>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rgb="FFC00000"/>
      </font>
    </dxf>
    <dxf>
      <font>
        <color rgb="FFC00000"/>
      </font>
    </dxf>
    <dxf>
      <border>
        <left style="thin">
          <color rgb="FFFF0000"/>
        </left>
        <right style="thin">
          <color rgb="FFFF0000"/>
        </right>
        <top style="thin">
          <color rgb="FFFF0000"/>
        </top>
        <bottom style="thin">
          <color rgb="FFFF0000"/>
        </bottom>
        <vertical/>
        <horizontal/>
      </border>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font>
        <color rgb="FFC00000"/>
      </font>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val="0"/>
        <i val="0"/>
        <color theme="4"/>
      </font>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296"/>
  <sheetViews>
    <sheetView showGridLines="0" tabSelected="1" zoomScaleNormal="100" workbookViewId="0">
      <pane xSplit="8" ySplit="2" topLeftCell="I3" activePane="bottomRight" state="frozenSplit"/>
      <selection pane="topRight" activeCell="I1" sqref="I1"/>
      <selection pane="bottomLeft" activeCell="A3" sqref="A3"/>
      <selection pane="bottomRight" activeCell="F1" sqref="F1"/>
    </sheetView>
  </sheetViews>
  <sheetFormatPr baseColWidth="10" defaultColWidth="11.44140625" defaultRowHeight="13.2" x14ac:dyDescent="0.3"/>
  <cols>
    <col min="1" max="1" width="50.33203125" style="52" customWidth="1"/>
    <col min="2" max="2" width="6.6640625" style="52" customWidth="1"/>
    <col min="3" max="3" width="24.6640625" style="52" customWidth="1"/>
    <col min="4" max="4" width="4.6640625" style="54" customWidth="1"/>
    <col min="5" max="5" width="24.6640625" style="52" customWidth="1"/>
    <col min="6" max="6" width="4.6640625" style="54" customWidth="1"/>
    <col min="7" max="7" width="24.6640625" style="52" customWidth="1"/>
    <col min="8" max="8" width="4.6640625" style="52" customWidth="1"/>
    <col min="9" max="9" width="32.88671875" style="90" bestFit="1" customWidth="1"/>
    <col min="10" max="10" width="87.88671875" style="78" customWidth="1"/>
    <col min="11" max="16384" width="11.44140625" style="52"/>
  </cols>
  <sheetData>
    <row r="1" spans="1:10" ht="26.1" customHeight="1" x14ac:dyDescent="0.3">
      <c r="A1" s="48" t="s">
        <v>75</v>
      </c>
      <c r="B1" s="166" t="s">
        <v>74</v>
      </c>
      <c r="C1" s="166"/>
      <c r="D1" s="49"/>
      <c r="E1" s="50">
        <v>45373</v>
      </c>
      <c r="F1" s="49"/>
      <c r="G1" s="51">
        <v>45292</v>
      </c>
      <c r="H1" s="91"/>
      <c r="I1" s="82" t="s">
        <v>120</v>
      </c>
      <c r="J1" s="82" t="s">
        <v>77</v>
      </c>
    </row>
    <row r="2" spans="1:10" ht="51.9" customHeight="1" x14ac:dyDescent="0.3">
      <c r="A2" s="164" t="s">
        <v>153</v>
      </c>
      <c r="B2" s="164"/>
      <c r="C2" s="164"/>
      <c r="D2" s="164"/>
      <c r="E2" s="164"/>
      <c r="F2" s="164"/>
      <c r="G2" s="164"/>
      <c r="H2" s="91"/>
      <c r="I2" s="88"/>
      <c r="J2" s="140"/>
    </row>
    <row r="3" spans="1:10" ht="14.1" customHeight="1" x14ac:dyDescent="0.3">
      <c r="A3" s="91"/>
      <c r="B3" s="91"/>
      <c r="C3" s="91"/>
      <c r="D3" s="92"/>
      <c r="E3" s="91"/>
      <c r="F3" s="92"/>
      <c r="G3" s="91"/>
      <c r="H3" s="92"/>
      <c r="I3" s="88"/>
      <c r="J3" s="155" t="s">
        <v>122</v>
      </c>
    </row>
    <row r="4" spans="1:10" s="55" customFormat="1" ht="20.100000000000001" customHeight="1" x14ac:dyDescent="0.3">
      <c r="A4" s="93" t="s">
        <v>0</v>
      </c>
      <c r="B4" s="93"/>
      <c r="C4" s="93" t="s">
        <v>57</v>
      </c>
      <c r="D4" s="94"/>
      <c r="E4" s="93" t="s">
        <v>54</v>
      </c>
      <c r="F4" s="95"/>
      <c r="G4" s="93" t="s">
        <v>55</v>
      </c>
      <c r="H4" s="94"/>
      <c r="I4" s="88"/>
      <c r="J4" s="156"/>
    </row>
    <row r="5" spans="1:10" s="43" customFormat="1" ht="20.100000000000001" customHeight="1" x14ac:dyDescent="0.3">
      <c r="A5" s="79"/>
      <c r="C5" s="71"/>
      <c r="E5" s="73"/>
      <c r="F5" s="56"/>
      <c r="G5" s="73"/>
      <c r="H5" s="96"/>
      <c r="I5" s="165" t="str">
        <f>IF(Berechnungsbeginn="","Von-Datum erfassen!",IF(AND(Berechnungsende&gt;0,Berechnungsende&lt;Berechnungsbeginn)=TRUE,"bis &lt; von !",IF(Berechnungsbeginn&lt;EDATE(GeburtsdatumJM,18*12),"'Kostenbeitrag von' liegt vor Volljährigkeit, falsche Vorlage!","")))</f>
        <v>Von-Datum erfassen!</v>
      </c>
      <c r="J5" s="156"/>
    </row>
    <row r="6" spans="1:10" ht="12" customHeight="1" x14ac:dyDescent="0.3">
      <c r="A6" s="91"/>
      <c r="B6" s="91"/>
      <c r="C6" s="91"/>
      <c r="D6" s="92"/>
      <c r="E6" s="91"/>
      <c r="F6" s="92"/>
      <c r="G6" s="91"/>
      <c r="H6" s="91"/>
      <c r="I6" s="165"/>
      <c r="J6" s="156"/>
    </row>
    <row r="7" spans="1:10" s="55" customFormat="1" ht="20.100000000000001" customHeight="1" x14ac:dyDescent="0.3">
      <c r="A7" s="93" t="s">
        <v>2</v>
      </c>
      <c r="B7" s="93"/>
      <c r="C7" s="93" t="s">
        <v>1</v>
      </c>
      <c r="D7" s="94"/>
      <c r="E7" s="167" t="s">
        <v>3</v>
      </c>
      <c r="F7" s="167"/>
      <c r="G7" s="167"/>
      <c r="H7" s="94"/>
      <c r="I7" s="88"/>
      <c r="J7" s="159" t="s">
        <v>76</v>
      </c>
    </row>
    <row r="8" spans="1:10" s="43" customFormat="1" ht="20.100000000000001" customHeight="1" x14ac:dyDescent="0.3">
      <c r="A8" s="79"/>
      <c r="C8" s="73"/>
      <c r="E8" s="168"/>
      <c r="F8" s="168"/>
      <c r="G8" s="168"/>
      <c r="H8" s="96"/>
      <c r="I8" s="88" t="str">
        <f>IF(GeburtsdatumJM="","Geburtsdatum erfassen!",IF(AND(Berechnungsbeginn&lt;&gt;"",GeburtsdatumJM&gt;Berechnungsbeginn)=TRUE,"'Kostenbeitrag von' liegt vor Geburt !",""))</f>
        <v>Geburtsdatum erfassen!</v>
      </c>
      <c r="J8" s="159"/>
    </row>
    <row r="9" spans="1:10" ht="12" customHeight="1" x14ac:dyDescent="0.3">
      <c r="A9" s="91"/>
      <c r="B9" s="91"/>
      <c r="C9" s="91"/>
      <c r="D9" s="92"/>
      <c r="E9" s="91"/>
      <c r="F9" s="92"/>
      <c r="G9" s="91"/>
      <c r="H9" s="91"/>
      <c r="I9" s="88"/>
      <c r="J9" s="84"/>
    </row>
    <row r="10" spans="1:10" s="55" customFormat="1" ht="20.100000000000001" customHeight="1" x14ac:dyDescent="0.3">
      <c r="A10" s="93" t="s">
        <v>4</v>
      </c>
      <c r="B10" s="93"/>
      <c r="C10" s="93" t="s">
        <v>8</v>
      </c>
      <c r="D10" s="94"/>
      <c r="E10" s="93" t="s">
        <v>9</v>
      </c>
      <c r="F10" s="95"/>
      <c r="G10" s="93" t="s">
        <v>58</v>
      </c>
      <c r="H10" s="94"/>
      <c r="I10" s="88"/>
      <c r="J10" s="155" t="s">
        <v>121</v>
      </c>
    </row>
    <row r="11" spans="1:10" s="43" customFormat="1" ht="20.100000000000001" customHeight="1" x14ac:dyDescent="0.3">
      <c r="A11" s="75" t="s">
        <v>52</v>
      </c>
      <c r="C11" s="73" t="str">
        <f>IF(AuswahlEinkommensjahr=0,"",IFERROR(DATE(AuswahlEinkommensjahr,1,1),"Bitte Eingabe!"))</f>
        <v/>
      </c>
      <c r="E11" s="73" t="str">
        <f>IF(AuswahlEinkommensjahr=0,"",IFERROR(DATE(AuswahlEinkommensjahr,12,31),"Bitte Eingabe!"))</f>
        <v/>
      </c>
      <c r="F11" s="56"/>
      <c r="G11" s="74" t="str">
        <f>IF(AuswahlEinkommensjahr=0,"",IFERROR(DATEDIF(EinkommenVon,EinkommenBis,"m")+1,0))</f>
        <v/>
      </c>
      <c r="H11" s="96"/>
      <c r="I11" s="88" t="str">
        <f>IF(AuswahlEinkommensjahr=0,"Einkommenszeitraum wählen!",IF(OR(EinkommenVon&gt;EinkommenBis,EinkommenVon="Bitte Eingabe!",EinkommenBis="Bitte Eingabe!",Einkommensmonate=0)=TRUE,"Einkommenszeitraum/Monate prüfen !",""))</f>
        <v>Einkommenszeitraum wählen!</v>
      </c>
      <c r="J11" s="156"/>
    </row>
    <row r="12" spans="1:10" ht="14.1" customHeight="1" x14ac:dyDescent="0.3">
      <c r="A12" s="91"/>
      <c r="B12" s="91"/>
      <c r="C12" s="93"/>
      <c r="D12" s="92"/>
      <c r="E12" s="91"/>
      <c r="F12" s="92"/>
      <c r="G12" s="91"/>
      <c r="H12" s="91"/>
      <c r="I12" s="88"/>
      <c r="J12" s="156"/>
    </row>
    <row r="13" spans="1:10" s="59" customFormat="1" ht="21.9" customHeight="1" x14ac:dyDescent="0.3">
      <c r="A13" s="57" t="s">
        <v>47</v>
      </c>
      <c r="B13" s="57"/>
      <c r="C13" s="57"/>
      <c r="D13" s="58"/>
      <c r="E13" s="57"/>
      <c r="F13" s="58"/>
      <c r="G13" s="57"/>
      <c r="H13" s="97"/>
      <c r="I13" s="88"/>
      <c r="J13" s="84"/>
    </row>
    <row r="14" spans="1:10" ht="8.1" customHeight="1" x14ac:dyDescent="0.3">
      <c r="A14" s="91"/>
      <c r="B14" s="91"/>
      <c r="C14" s="91"/>
      <c r="D14" s="92"/>
      <c r="E14" s="91"/>
      <c r="F14" s="92"/>
      <c r="G14" s="91"/>
      <c r="H14" s="91"/>
      <c r="I14" s="88"/>
      <c r="J14" s="83"/>
    </row>
    <row r="15" spans="1:10" s="53" customFormat="1" ht="14.1" customHeight="1" x14ac:dyDescent="0.3">
      <c r="A15" s="93"/>
      <c r="B15" s="103"/>
      <c r="C15" s="98"/>
      <c r="D15" s="104"/>
      <c r="E15" s="105" t="s">
        <v>45</v>
      </c>
      <c r="F15" s="104"/>
      <c r="G15" s="98"/>
      <c r="H15" s="98"/>
      <c r="I15" s="88"/>
      <c r="J15" s="85" t="s">
        <v>95</v>
      </c>
    </row>
    <row r="16" spans="1:10" s="60" customFormat="1" ht="20.100000000000001" customHeight="1" x14ac:dyDescent="0.3">
      <c r="A16" s="106" t="str">
        <f>IF(AuswahlBetragsartEinkommenNST=1,"Jährliche Einkünfte und Abzüge","Monatliche Nettoeinkünfte")</f>
        <v>Monatliche Nettoeinkünfte</v>
      </c>
      <c r="B16" s="107"/>
      <c r="C16" s="169" t="s">
        <v>28</v>
      </c>
      <c r="D16" s="108"/>
      <c r="E16" s="76" t="s">
        <v>52</v>
      </c>
      <c r="F16" s="110"/>
      <c r="G16" s="111"/>
      <c r="H16" s="99"/>
      <c r="I16" s="88" t="str">
        <f>IF(OR(AuswahlBetragsartEinkommenNST&lt;1,AuswahlBetragsartEinkommenNST&gt;2)=TRUE,"Betragsart wählen!","")</f>
        <v>Betragsart wählen!</v>
      </c>
      <c r="J16" s="85"/>
    </row>
    <row r="17" spans="1:10" s="53" customFormat="1" ht="8.1" customHeight="1" x14ac:dyDescent="0.3">
      <c r="A17" s="103"/>
      <c r="B17" s="103"/>
      <c r="C17" s="169"/>
      <c r="D17" s="109"/>
      <c r="E17" s="105"/>
      <c r="F17" s="105"/>
      <c r="G17" s="98"/>
      <c r="H17" s="98"/>
      <c r="I17" s="88"/>
      <c r="J17" s="85"/>
    </row>
    <row r="18" spans="1:10" s="55" customFormat="1" ht="20.100000000000001" customHeight="1" x14ac:dyDescent="0.3">
      <c r="A18" s="112" t="str">
        <f>IF(AuswahlBetragsartEinkommenNST=0,"",IF(AuswahlBetragsartEinkommenNST=1,Auswahlwerte!D11,Auswahlwerte!E11))</f>
        <v/>
      </c>
      <c r="B18" s="113"/>
      <c r="C18" s="79"/>
      <c r="D18" s="115"/>
      <c r="E18" s="72"/>
      <c r="F18" s="118"/>
      <c r="G18" s="119"/>
      <c r="H18" s="94"/>
      <c r="I18" s="88"/>
      <c r="J18" s="86" t="str">
        <f>IF(AuswahlBetragsartEinkommenNST=0,"Wählen Sie unbedingt die Betragsart aus!",IF(AuswahlBetragsartEinkommenNST=1,"Geben Sie das jährliche Bruttoerwerbseinkommen ein.","Geben Sie das Nettoeinkommen des jeweils angezeigten Monats ein."))</f>
        <v>Wählen Sie unbedingt die Betragsart aus!</v>
      </c>
    </row>
    <row r="19" spans="1:10" s="53" customFormat="1" ht="6" customHeight="1" x14ac:dyDescent="0.3">
      <c r="A19" s="103"/>
      <c r="B19" s="114"/>
      <c r="C19" s="64"/>
      <c r="D19" s="108"/>
      <c r="E19" s="80"/>
      <c r="F19" s="105"/>
      <c r="G19" s="117"/>
      <c r="H19" s="98"/>
      <c r="I19" s="88"/>
      <c r="J19" s="86"/>
    </row>
    <row r="20" spans="1:10" s="55" customFormat="1" ht="20.100000000000001" customHeight="1" x14ac:dyDescent="0.3">
      <c r="A20" s="112" t="str">
        <f>IF(AuswahlBetragsartEinkommenNST=0,"",IF(AuswahlBetragsartEinkommenNST=1,Auswahlwerte!D12,Auswahlwerte!E12))</f>
        <v/>
      </c>
      <c r="B20" s="113"/>
      <c r="C20" s="79"/>
      <c r="D20" s="115" t="s">
        <v>31</v>
      </c>
      <c r="E20" s="72"/>
      <c r="F20" s="118"/>
      <c r="G20" s="119"/>
      <c r="H20" s="94"/>
      <c r="I20" s="88"/>
      <c r="J20" s="86"/>
    </row>
    <row r="21" spans="1:10" s="55" customFormat="1" ht="6" customHeight="1" x14ac:dyDescent="0.3">
      <c r="A21" s="93"/>
      <c r="B21" s="113"/>
      <c r="C21" s="65"/>
      <c r="D21" s="115"/>
      <c r="E21" s="62"/>
      <c r="F21" s="118"/>
      <c r="G21" s="120"/>
      <c r="H21" s="94"/>
      <c r="I21" s="88"/>
      <c r="J21" s="86"/>
    </row>
    <row r="22" spans="1:10" s="55" customFormat="1" ht="20.100000000000001" customHeight="1" x14ac:dyDescent="0.3">
      <c r="A22" s="112" t="str">
        <f>IF(AuswahlBetragsartEinkommenNST=0,"",IF(AuswahlBetragsartEinkommenNST=1,Auswahlwerte!D13,Auswahlwerte!E13))</f>
        <v/>
      </c>
      <c r="B22" s="113"/>
      <c r="C22" s="79"/>
      <c r="D22" s="115" t="s">
        <v>31</v>
      </c>
      <c r="E22" s="72"/>
      <c r="F22" s="118"/>
      <c r="G22" s="119"/>
      <c r="H22" s="94"/>
      <c r="I22" s="88"/>
      <c r="J22" s="86"/>
    </row>
    <row r="23" spans="1:10" s="53" customFormat="1" ht="6" customHeight="1" x14ac:dyDescent="0.3">
      <c r="A23" s="103"/>
      <c r="B23" s="114"/>
      <c r="C23" s="64"/>
      <c r="D23" s="108"/>
      <c r="E23" s="80"/>
      <c r="F23" s="105"/>
      <c r="G23" s="117"/>
      <c r="H23" s="98"/>
      <c r="I23" s="88"/>
      <c r="J23" s="86"/>
    </row>
    <row r="24" spans="1:10" s="55" customFormat="1" ht="20.100000000000001" customHeight="1" x14ac:dyDescent="0.3">
      <c r="A24" s="112" t="str">
        <f>IF(AuswahlBetragsartEinkommenNST=0,"",IF(AuswahlBetragsartEinkommenNST=1,Auswahlwerte!D14,Auswahlwerte!E14))</f>
        <v/>
      </c>
      <c r="B24" s="113"/>
      <c r="C24" s="79"/>
      <c r="D24" s="115" t="s">
        <v>31</v>
      </c>
      <c r="E24" s="72"/>
      <c r="F24" s="118"/>
      <c r="G24" s="119"/>
      <c r="H24" s="94"/>
      <c r="I24" s="88"/>
      <c r="J24" s="86" t="str">
        <f>IF(AuswahlBetragsartEinkommenNST=1,"Geben Sie zu berücksichtigende Renteneinkünfte als Jahresbetrag ein.","")</f>
        <v/>
      </c>
    </row>
    <row r="25" spans="1:10" s="53" customFormat="1" ht="6" customHeight="1" x14ac:dyDescent="0.3">
      <c r="A25" s="103"/>
      <c r="B25" s="114"/>
      <c r="C25" s="64"/>
      <c r="D25" s="108"/>
      <c r="E25" s="80"/>
      <c r="F25" s="105"/>
      <c r="G25" s="117"/>
      <c r="H25" s="98"/>
      <c r="I25" s="88"/>
      <c r="J25" s="86"/>
    </row>
    <row r="26" spans="1:10" s="55" customFormat="1" ht="20.100000000000001" customHeight="1" x14ac:dyDescent="0.3">
      <c r="A26" s="112" t="str">
        <f>IF(AuswahlBetragsartEinkommenNST=0,"",IF(AuswahlBetragsartEinkommenNST=1,Auswahlwerte!D15,Auswahlwerte!E15))</f>
        <v/>
      </c>
      <c r="B26" s="113"/>
      <c r="C26" s="79"/>
      <c r="D26" s="115" t="s">
        <v>31</v>
      </c>
      <c r="E26" s="72"/>
      <c r="F26" s="118"/>
      <c r="G26" s="119"/>
      <c r="H26" s="94"/>
      <c r="I26" s="88"/>
      <c r="J26" s="86" t="str">
        <f>IF(AuswahlBetragsartEinkommenNST=1,"Geben Sie die erzielten Einkünfte aus Kapitalvermögen (Zinsen etc.) als Jahresbetrag ein.","")</f>
        <v/>
      </c>
    </row>
    <row r="27" spans="1:10" s="53" customFormat="1" ht="6" customHeight="1" x14ac:dyDescent="0.3">
      <c r="A27" s="93"/>
      <c r="B27" s="114"/>
      <c r="C27" s="64"/>
      <c r="D27" s="108"/>
      <c r="E27" s="80"/>
      <c r="F27" s="105"/>
      <c r="G27" s="117"/>
      <c r="H27" s="98"/>
      <c r="I27" s="88"/>
      <c r="J27" s="86"/>
    </row>
    <row r="28" spans="1:10" s="55" customFormat="1" ht="20.100000000000001" customHeight="1" x14ac:dyDescent="0.3">
      <c r="A28" s="112" t="str">
        <f>IF(AuswahlBetragsartEinkommenNST=0,"",IF(AuswahlBetragsartEinkommenNST=1,Auswahlwerte!D16,Auswahlwerte!E16))</f>
        <v/>
      </c>
      <c r="B28" s="113"/>
      <c r="C28" s="79"/>
      <c r="D28" s="115" t="str">
        <f>IF(AuswahlBetragsartEinkommenNST=1,"./.","+")</f>
        <v>+</v>
      </c>
      <c r="E28" s="72"/>
      <c r="F28" s="118"/>
      <c r="G28" s="119"/>
      <c r="H28" s="94"/>
      <c r="I28" s="88"/>
      <c r="J28" s="86" t="str">
        <f>IF(AuswahlBetragsartEinkommenNST=1,"Geben Sie die für das maßgebliche Jahr zu zahlende Lohn-/Einkommensteuer (abzügl. Erstattungen) ein.","")</f>
        <v/>
      </c>
    </row>
    <row r="29" spans="1:10" s="53" customFormat="1" ht="6" customHeight="1" x14ac:dyDescent="0.3">
      <c r="A29" s="103"/>
      <c r="B29" s="114"/>
      <c r="C29" s="64"/>
      <c r="D29" s="108"/>
      <c r="E29" s="80"/>
      <c r="F29" s="105"/>
      <c r="G29" s="117"/>
      <c r="H29" s="98"/>
      <c r="I29" s="88"/>
      <c r="J29" s="86"/>
    </row>
    <row r="30" spans="1:10" s="55" customFormat="1" ht="20.100000000000001" customHeight="1" x14ac:dyDescent="0.3">
      <c r="A30" s="112" t="str">
        <f>IF(AuswahlBetragsartEinkommenNST=0,"",IF(AuswahlBetragsartEinkommenNST=1,Auswahlwerte!D17,Auswahlwerte!E17))</f>
        <v/>
      </c>
      <c r="B30" s="113"/>
      <c r="C30" s="79"/>
      <c r="D30" s="115" t="str">
        <f>IF(AuswahlBetragsartEinkommenNST=1,"./.","+")</f>
        <v>+</v>
      </c>
      <c r="E30" s="72"/>
      <c r="F30" s="118"/>
      <c r="G30" s="119"/>
      <c r="H30" s="94"/>
      <c r="I30" s="88"/>
      <c r="J30" s="86" t="str">
        <f>IF(AuswahlBetragsartEinkommenNST=1,"Geben Sie den für das maßgebliche Jahr zu zahlenden Solidaritätszuschlag (abzügl. Erstattungen) ein.","")</f>
        <v/>
      </c>
    </row>
    <row r="31" spans="1:10" s="53" customFormat="1" ht="6" customHeight="1" x14ac:dyDescent="0.3">
      <c r="A31" s="93"/>
      <c r="B31" s="114"/>
      <c r="C31" s="64"/>
      <c r="D31" s="108"/>
      <c r="E31" s="80"/>
      <c r="F31" s="105"/>
      <c r="G31" s="117"/>
      <c r="H31" s="98"/>
      <c r="I31" s="88"/>
      <c r="J31" s="86"/>
    </row>
    <row r="32" spans="1:10" s="55" customFormat="1" ht="20.100000000000001" customHeight="1" x14ac:dyDescent="0.3">
      <c r="A32" s="112" t="str">
        <f>IF(AuswahlBetragsartEinkommenNST=0,"",IF(AuswahlBetragsartEinkommenNST=1,Auswahlwerte!D18,Auswahlwerte!E18))</f>
        <v/>
      </c>
      <c r="B32" s="113"/>
      <c r="C32" s="79"/>
      <c r="D32" s="115" t="str">
        <f>IF(AuswahlBetragsartEinkommenNST=1,"./.","+")</f>
        <v>+</v>
      </c>
      <c r="E32" s="72"/>
      <c r="F32" s="118"/>
      <c r="G32" s="119"/>
      <c r="H32" s="94"/>
      <c r="I32" s="88"/>
      <c r="J32" s="86" t="str">
        <f>IF(AuswahlBetragsartEinkommenNST=1,"Geben Sie die für das maßgebliche Jahr zu zahlende Kirchensteuer (abzügl. Erstattungen) ein.","")</f>
        <v/>
      </c>
    </row>
    <row r="33" spans="1:10" s="53" customFormat="1" ht="6" customHeight="1" x14ac:dyDescent="0.3">
      <c r="A33" s="103"/>
      <c r="B33" s="114"/>
      <c r="C33" s="64"/>
      <c r="D33" s="108"/>
      <c r="E33" s="80"/>
      <c r="F33" s="105"/>
      <c r="G33" s="117"/>
      <c r="H33" s="98"/>
      <c r="I33" s="88"/>
      <c r="J33" s="86"/>
    </row>
    <row r="34" spans="1:10" s="55" customFormat="1" ht="20.100000000000001" customHeight="1" x14ac:dyDescent="0.3">
      <c r="A34" s="112" t="str">
        <f>IF(AuswahlBetragsartEinkommenNST=0,"",IF(AuswahlBetragsartEinkommenNST=1,Auswahlwerte!D19,Auswahlwerte!E19))</f>
        <v/>
      </c>
      <c r="B34" s="113"/>
      <c r="C34" s="79"/>
      <c r="D34" s="115" t="str">
        <f>IF(AuswahlBetragsartEinkommenNST=1,"./.","+")</f>
        <v>+</v>
      </c>
      <c r="E34" s="72"/>
      <c r="F34" s="118"/>
      <c r="G34" s="119"/>
      <c r="H34" s="94"/>
      <c r="I34" s="88"/>
      <c r="J34" s="86" t="str">
        <f>IF(AuswahlBetragsartEinkommenNST=1,"Geben Sie die für das maßgebliche Jahr zu zahlenden Krankenversicherungsbeiträge ein.","")</f>
        <v/>
      </c>
    </row>
    <row r="35" spans="1:10" s="53" customFormat="1" ht="6" customHeight="1" x14ac:dyDescent="0.3">
      <c r="A35" s="103"/>
      <c r="B35" s="114"/>
      <c r="C35" s="64"/>
      <c r="D35" s="108"/>
      <c r="E35" s="80"/>
      <c r="F35" s="105"/>
      <c r="G35" s="117"/>
      <c r="H35" s="98"/>
      <c r="I35" s="88"/>
      <c r="J35" s="86"/>
    </row>
    <row r="36" spans="1:10" s="55" customFormat="1" ht="20.100000000000001" customHeight="1" x14ac:dyDescent="0.3">
      <c r="A36" s="112" t="str">
        <f>IF(AuswahlBetragsartEinkommenNST=0,"",IF(AuswahlBetragsartEinkommenNST=1,Auswahlwerte!D20,Auswahlwerte!E20))</f>
        <v/>
      </c>
      <c r="B36" s="113"/>
      <c r="C36" s="79"/>
      <c r="D36" s="115" t="str">
        <f>IF(AuswahlBetragsartEinkommenNST=1,"./.","+")</f>
        <v>+</v>
      </c>
      <c r="E36" s="72"/>
      <c r="F36" s="118"/>
      <c r="G36" s="119"/>
      <c r="H36" s="94"/>
      <c r="I36" s="88"/>
      <c r="J36" s="86" t="str">
        <f>IF(AuswahlBetragsartEinkommenNST=1,"Geben Sie die für das maßgebliche Jahr zu zahlenden Pflegeversicherungsbeiträge ein.","")</f>
        <v/>
      </c>
    </row>
    <row r="37" spans="1:10" s="53" customFormat="1" ht="6" customHeight="1" x14ac:dyDescent="0.3">
      <c r="A37" s="103"/>
      <c r="B37" s="114"/>
      <c r="C37" s="64"/>
      <c r="D37" s="108"/>
      <c r="E37" s="80"/>
      <c r="F37" s="105"/>
      <c r="G37" s="117"/>
      <c r="H37" s="98"/>
      <c r="I37" s="88"/>
      <c r="J37" s="86"/>
    </row>
    <row r="38" spans="1:10" s="55" customFormat="1" ht="20.100000000000001" customHeight="1" x14ac:dyDescent="0.3">
      <c r="A38" s="112" t="str">
        <f>IF(AuswahlBetragsartEinkommenNST=0,"",IF(AuswahlBetragsartEinkommenNST=1,Auswahlwerte!D21,Auswahlwerte!E21))</f>
        <v/>
      </c>
      <c r="B38" s="113"/>
      <c r="C38" s="79"/>
      <c r="D38" s="115" t="str">
        <f>IF(AuswahlBetragsartEinkommenNST=1,"./.","+")</f>
        <v>+</v>
      </c>
      <c r="E38" s="72"/>
      <c r="F38" s="118"/>
      <c r="G38" s="119"/>
      <c r="H38" s="94"/>
      <c r="I38" s="88"/>
      <c r="J38" s="86" t="str">
        <f>IF(AuswahlBetragsartEinkommenNST=1,"Geben Sie die für das maßgebliche Jahr zu zahlenden Rentenversicherungsbeiträge ein.","")</f>
        <v/>
      </c>
    </row>
    <row r="39" spans="1:10" s="53" customFormat="1" ht="6" customHeight="1" x14ac:dyDescent="0.3">
      <c r="A39" s="103"/>
      <c r="B39" s="114"/>
      <c r="C39" s="64"/>
      <c r="D39" s="108"/>
      <c r="E39" s="80"/>
      <c r="F39" s="105"/>
      <c r="G39" s="117"/>
      <c r="H39" s="98"/>
      <c r="I39" s="88"/>
      <c r="J39" s="86"/>
    </row>
    <row r="40" spans="1:10" s="55" customFormat="1" ht="20.100000000000001" customHeight="1" x14ac:dyDescent="0.3">
      <c r="A40" s="112" t="str">
        <f>IF(AuswahlBetragsartEinkommenNST=0,"",IF(AuswahlBetragsartEinkommenNST=1,Auswahlwerte!D22,Auswahlwerte!E22))</f>
        <v/>
      </c>
      <c r="B40" s="113"/>
      <c r="C40" s="79"/>
      <c r="D40" s="115" t="str">
        <f>IF(AuswahlBetragsartEinkommenNST=1,"./.","+")</f>
        <v>+</v>
      </c>
      <c r="E40" s="72"/>
      <c r="F40" s="118"/>
      <c r="G40" s="119"/>
      <c r="H40" s="94"/>
      <c r="I40" s="88"/>
      <c r="J40" s="86" t="str">
        <f>IF(AuswahlBetragsartEinkommenNST=1,"Geben Sie die für das maßgebliche Jahr zu zahlenden Beiträge zur Arbeitsförderung ein.","")</f>
        <v/>
      </c>
    </row>
    <row r="41" spans="1:10" s="53" customFormat="1" ht="6" customHeight="1" x14ac:dyDescent="0.3">
      <c r="A41" s="103"/>
      <c r="B41" s="114"/>
      <c r="C41" s="116"/>
      <c r="D41" s="108"/>
      <c r="E41" s="105"/>
      <c r="F41" s="105"/>
      <c r="G41" s="117"/>
      <c r="H41" s="98"/>
      <c r="I41" s="88"/>
      <c r="J41" s="83"/>
    </row>
    <row r="42" spans="1:10" s="55" customFormat="1" ht="20.100000000000001" customHeight="1" x14ac:dyDescent="0.25">
      <c r="A42" s="112" t="s">
        <v>133</v>
      </c>
      <c r="B42" s="112"/>
      <c r="C42" s="112"/>
      <c r="D42" s="115" t="s">
        <v>35</v>
      </c>
      <c r="E42" s="66">
        <f>IF(AuswahlBetragsartEinkommenNST=1,SUM(E18:E26)-SUM(E28:E40),SUM(E18:E40))</f>
        <v>0</v>
      </c>
      <c r="F42" s="112"/>
      <c r="G42" s="135" t="s">
        <v>32</v>
      </c>
      <c r="H42" s="94"/>
      <c r="I42" s="88" t="str">
        <f>IF(AuswahlBetragsartEinkommenNST&lt;&gt;0,IF(E42&lt;=0,"Kein positives Einkommen?",""),"")</f>
        <v/>
      </c>
      <c r="J42" s="83"/>
    </row>
    <row r="43" spans="1:10" ht="6" customHeight="1" x14ac:dyDescent="0.3">
      <c r="A43" s="91"/>
      <c r="B43" s="91"/>
      <c r="C43" s="91"/>
      <c r="D43" s="109"/>
      <c r="E43" s="98"/>
      <c r="F43" s="92"/>
      <c r="G43" s="103"/>
      <c r="H43" s="91"/>
      <c r="I43" s="88"/>
      <c r="J43" s="84"/>
    </row>
    <row r="44" spans="1:10" s="55" customFormat="1" ht="20.100000000000001" customHeight="1" x14ac:dyDescent="0.3">
      <c r="A44" s="112" t="str">
        <f>IF(AuswahlEinkommensjahr=0,"",IF(AuswahlBetragsartEinkommenNST=0,"","Umrechnung für den Zeitraum "&amp;TEXT(DAY(EinkommenVon),"00")&amp;"."&amp;TEXT(MONTH(EinkommenVon),"00")&amp;"."&amp;YEAR(EinkommenVon)&amp;" - "&amp;TEXT(DAY(EinkommenBis),"00")&amp;"."&amp;TEXT(MONTH(EinkommenBis),"00")&amp;"."&amp;YEAR(EinkommenBis)))</f>
        <v/>
      </c>
      <c r="B44" s="112"/>
      <c r="C44" s="100"/>
      <c r="D44" s="108" t="s">
        <v>36</v>
      </c>
      <c r="E44" s="121" t="str">
        <f>Einkommensmonate</f>
        <v/>
      </c>
      <c r="F44" s="108" t="s">
        <v>35</v>
      </c>
      <c r="G44" s="66" t="str">
        <f>IF(AuswahlEinkommensjahr=0,"",IF(AuswahlBetragsartEinkommenNST=0,"",E42/Einkommensmonate))</f>
        <v/>
      </c>
      <c r="H44" s="94"/>
      <c r="I44" s="88"/>
      <c r="J44" s="132" t="s">
        <v>134</v>
      </c>
    </row>
    <row r="45" spans="1:10" ht="14.1" customHeight="1" x14ac:dyDescent="0.3">
      <c r="A45" s="91"/>
      <c r="B45" s="91"/>
      <c r="C45" s="91"/>
      <c r="D45" s="109"/>
      <c r="E45" s="91"/>
      <c r="F45" s="92"/>
      <c r="G45" s="92"/>
      <c r="H45" s="91"/>
      <c r="I45" s="88"/>
      <c r="J45" s="83"/>
    </row>
    <row r="46" spans="1:10" s="55" customFormat="1" ht="20.100000000000001" customHeight="1" x14ac:dyDescent="0.3">
      <c r="A46" s="112" t="s">
        <v>132</v>
      </c>
      <c r="B46" s="113"/>
      <c r="C46" s="170"/>
      <c r="D46" s="170"/>
      <c r="E46" s="170"/>
      <c r="F46" s="170"/>
      <c r="G46" s="163" t="s">
        <v>32</v>
      </c>
      <c r="H46" s="94"/>
      <c r="I46" s="88"/>
      <c r="J46" s="83"/>
    </row>
    <row r="47" spans="1:10" s="53" customFormat="1" ht="6" customHeight="1" x14ac:dyDescent="0.3">
      <c r="A47" s="103"/>
      <c r="B47" s="103"/>
      <c r="C47" s="170"/>
      <c r="D47" s="170"/>
      <c r="E47" s="170"/>
      <c r="F47" s="170"/>
      <c r="G47" s="163"/>
      <c r="H47" s="98"/>
      <c r="I47" s="88"/>
      <c r="J47" s="83"/>
    </row>
    <row r="48" spans="1:10" s="55" customFormat="1" ht="19.5" customHeight="1" x14ac:dyDescent="0.3">
      <c r="A48" s="162"/>
      <c r="B48" s="162"/>
      <c r="C48" s="162"/>
      <c r="D48" s="162"/>
      <c r="E48" s="162"/>
      <c r="F48" s="118" t="s">
        <v>31</v>
      </c>
      <c r="G48" s="72"/>
      <c r="H48" s="94"/>
      <c r="I48" s="88"/>
      <c r="J48" s="136" t="s">
        <v>135</v>
      </c>
    </row>
    <row r="49" spans="1:10" ht="14.1" customHeight="1" x14ac:dyDescent="0.3">
      <c r="A49" s="91"/>
      <c r="B49" s="91"/>
      <c r="C49" s="91"/>
      <c r="D49" s="109"/>
      <c r="E49" s="91"/>
      <c r="F49" s="92"/>
      <c r="G49" s="92"/>
      <c r="H49" s="91"/>
      <c r="I49" s="88"/>
      <c r="J49" s="83"/>
    </row>
    <row r="50" spans="1:10" ht="20.100000000000001" customHeight="1" x14ac:dyDescent="0.3">
      <c r="A50" s="112" t="s">
        <v>123</v>
      </c>
      <c r="B50" s="91"/>
      <c r="C50" s="91"/>
      <c r="D50" s="109"/>
      <c r="E50" s="91"/>
      <c r="F50" s="92"/>
      <c r="G50" s="66" t="str">
        <f>IF(AuswahlBetragsartEinkommenNST=0,"",G44+G48)</f>
        <v/>
      </c>
      <c r="H50" s="91"/>
      <c r="I50" s="88"/>
      <c r="J50" s="83"/>
    </row>
    <row r="51" spans="1:10" ht="14.1" customHeight="1" x14ac:dyDescent="0.3">
      <c r="A51" s="91"/>
      <c r="B51" s="91"/>
      <c r="C51" s="91"/>
      <c r="D51" s="109"/>
      <c r="E51" s="91"/>
      <c r="F51" s="92"/>
      <c r="G51" s="92"/>
      <c r="H51" s="91"/>
      <c r="I51" s="88"/>
      <c r="J51" s="83"/>
    </row>
    <row r="52" spans="1:10" s="55" customFormat="1" ht="20.100000000000001" customHeight="1" x14ac:dyDescent="0.3">
      <c r="A52" s="112" t="s">
        <v>126</v>
      </c>
      <c r="B52" s="113"/>
      <c r="C52" s="91"/>
      <c r="D52" s="100"/>
      <c r="E52" s="91"/>
      <c r="F52" s="118"/>
      <c r="G52" s="119"/>
      <c r="H52" s="94"/>
      <c r="I52" s="88"/>
      <c r="J52" s="83"/>
    </row>
    <row r="53" spans="1:10" s="55" customFormat="1" ht="20.100000000000001" customHeight="1" x14ac:dyDescent="0.3">
      <c r="A53" s="112" t="s">
        <v>124</v>
      </c>
      <c r="B53" s="113"/>
      <c r="C53" s="170" t="s">
        <v>125</v>
      </c>
      <c r="D53" s="170"/>
      <c r="E53" s="170"/>
      <c r="F53" s="170"/>
      <c r="G53" s="163" t="s">
        <v>32</v>
      </c>
      <c r="H53" s="94"/>
      <c r="I53" s="88"/>
      <c r="J53" s="155" t="s">
        <v>131</v>
      </c>
    </row>
    <row r="54" spans="1:10" s="53" customFormat="1" ht="6" customHeight="1" x14ac:dyDescent="0.3">
      <c r="A54" s="103"/>
      <c r="B54" s="103"/>
      <c r="C54" s="170"/>
      <c r="D54" s="170"/>
      <c r="E54" s="170"/>
      <c r="F54" s="170"/>
      <c r="G54" s="163"/>
      <c r="H54" s="98"/>
      <c r="I54" s="88"/>
      <c r="J54" s="155"/>
    </row>
    <row r="55" spans="1:10" s="55" customFormat="1" ht="19.5" customHeight="1" x14ac:dyDescent="0.3">
      <c r="A55" s="133" t="s">
        <v>127</v>
      </c>
      <c r="B55" s="113"/>
      <c r="C55" s="162"/>
      <c r="D55" s="162"/>
      <c r="E55" s="162"/>
      <c r="F55" s="118" t="s">
        <v>44</v>
      </c>
      <c r="G55" s="72"/>
      <c r="H55" s="94"/>
      <c r="I55" s="88"/>
      <c r="J55" s="155"/>
    </row>
    <row r="56" spans="1:10" s="53" customFormat="1" ht="6" customHeight="1" x14ac:dyDescent="0.3">
      <c r="A56" s="103"/>
      <c r="B56" s="114"/>
      <c r="C56" s="64"/>
      <c r="D56" s="108"/>
      <c r="F56" s="105"/>
      <c r="G56" s="80"/>
      <c r="H56" s="98"/>
      <c r="I56" s="88"/>
      <c r="J56" s="155"/>
    </row>
    <row r="57" spans="1:10" s="55" customFormat="1" ht="19.5" customHeight="1" x14ac:dyDescent="0.3">
      <c r="A57" s="133" t="s">
        <v>128</v>
      </c>
      <c r="B57" s="113"/>
      <c r="C57" s="162"/>
      <c r="D57" s="162"/>
      <c r="E57" s="162"/>
      <c r="F57" s="118" t="s">
        <v>44</v>
      </c>
      <c r="G57" s="72"/>
      <c r="H57" s="94"/>
      <c r="I57" s="88"/>
      <c r="J57" s="155"/>
    </row>
    <row r="58" spans="1:10" s="53" customFormat="1" ht="6" customHeight="1" x14ac:dyDescent="0.3">
      <c r="A58" s="103"/>
      <c r="B58" s="114"/>
      <c r="C58" s="64"/>
      <c r="D58" s="108"/>
      <c r="F58" s="105"/>
      <c r="G58" s="80"/>
      <c r="H58" s="98"/>
      <c r="I58" s="88"/>
      <c r="J58" s="155"/>
    </row>
    <row r="59" spans="1:10" s="55" customFormat="1" ht="19.5" customHeight="1" x14ac:dyDescent="0.3">
      <c r="A59" s="133" t="s">
        <v>129</v>
      </c>
      <c r="B59" s="113"/>
      <c r="C59" s="162"/>
      <c r="D59" s="162"/>
      <c r="E59" s="162"/>
      <c r="F59" s="118" t="s">
        <v>44</v>
      </c>
      <c r="G59" s="72"/>
      <c r="H59" s="94"/>
      <c r="I59" s="88"/>
      <c r="J59" s="155"/>
    </row>
    <row r="60" spans="1:10" s="53" customFormat="1" ht="6" customHeight="1" x14ac:dyDescent="0.3">
      <c r="A60" s="103"/>
      <c r="B60" s="114"/>
      <c r="C60" s="64"/>
      <c r="D60" s="108"/>
      <c r="F60" s="105"/>
      <c r="G60" s="80"/>
      <c r="H60" s="98"/>
      <c r="I60" s="88"/>
      <c r="J60" s="155"/>
    </row>
    <row r="61" spans="1:10" s="55" customFormat="1" ht="19.5" customHeight="1" x14ac:dyDescent="0.3">
      <c r="A61" s="133" t="s">
        <v>130</v>
      </c>
      <c r="B61" s="113"/>
      <c r="C61" s="162"/>
      <c r="D61" s="162"/>
      <c r="E61" s="162"/>
      <c r="F61" s="118" t="s">
        <v>44</v>
      </c>
      <c r="G61" s="72"/>
      <c r="H61" s="94"/>
      <c r="I61" s="88"/>
      <c r="J61" s="155"/>
    </row>
    <row r="62" spans="1:10" s="53" customFormat="1" ht="6" customHeight="1" x14ac:dyDescent="0.3">
      <c r="A62" s="103"/>
      <c r="B62" s="114"/>
      <c r="C62" s="64"/>
      <c r="D62" s="108"/>
      <c r="E62" s="80"/>
      <c r="F62" s="105"/>
      <c r="G62" s="117"/>
      <c r="H62" s="98"/>
      <c r="I62" s="88"/>
      <c r="J62" s="86"/>
    </row>
    <row r="63" spans="1:10" s="55" customFormat="1" ht="20.100000000000001" customHeight="1" x14ac:dyDescent="0.3">
      <c r="A63" s="112" t="s">
        <v>62</v>
      </c>
      <c r="B63" s="112"/>
      <c r="C63" s="112"/>
      <c r="D63" s="115"/>
      <c r="E63" s="112"/>
      <c r="F63" s="112"/>
      <c r="G63" s="66" t="str">
        <f>IF(AuswahlEinkommensjahr=0,"",G50-SUM(G55:G61))</f>
        <v/>
      </c>
      <c r="H63" s="94"/>
      <c r="I63" s="88"/>
      <c r="J63" s="86"/>
    </row>
    <row r="64" spans="1:10" ht="14.1" customHeight="1" x14ac:dyDescent="0.3">
      <c r="A64" s="91"/>
      <c r="B64" s="91"/>
      <c r="C64" s="91"/>
      <c r="D64" s="109"/>
      <c r="E64" s="91"/>
      <c r="F64" s="92"/>
      <c r="G64" s="92"/>
      <c r="H64" s="91"/>
      <c r="I64" s="88"/>
      <c r="J64" s="83"/>
    </row>
    <row r="65" spans="1:10" s="60" customFormat="1" ht="20.100000000000001" customHeight="1" x14ac:dyDescent="0.3">
      <c r="A65" s="93" t="str">
        <f>IF(AuswahlEinkommensjahr=0,"",IF(AuswahlBetragsartEinkommenNST=0,"","Monatliche Belastungen gem. § 93 Abs. 3 SGB VIII"))</f>
        <v/>
      </c>
      <c r="B65" s="107"/>
      <c r="C65" s="99"/>
      <c r="D65" s="100"/>
      <c r="E65" s="99"/>
      <c r="F65" s="110"/>
      <c r="G65" s="111"/>
      <c r="H65" s="99"/>
      <c r="I65" s="88"/>
      <c r="J65" s="83"/>
    </row>
    <row r="66" spans="1:10" s="53" customFormat="1" ht="6" customHeight="1" x14ac:dyDescent="0.3">
      <c r="A66" s="103"/>
      <c r="B66" s="103"/>
      <c r="C66" s="103"/>
      <c r="D66" s="109"/>
      <c r="E66" s="105"/>
      <c r="F66" s="105"/>
      <c r="G66" s="98"/>
      <c r="H66" s="98"/>
      <c r="I66" s="88"/>
      <c r="J66" s="83"/>
    </row>
    <row r="67" spans="1:10" s="55" customFormat="1" ht="14.1" customHeight="1" x14ac:dyDescent="0.3">
      <c r="A67" s="103" t="str">
        <f>"Zu berücksichtigen im Zeitraum "&amp;IF(OR(EinkommenVon="",EinkommenBis="")=TRUE,"",TEXT(DAY(EinkommenVon),"00")&amp;"."&amp;TEXT(MONTH(EinkommenVon),"00")&amp;"."&amp;YEAR(EinkommenVon)&amp;" - "&amp;TEXT(DAY(EinkommenBis),"00")&amp;"."&amp;TEXT(MONTH(EinkommenBis),"00")&amp;"."&amp;YEAR(EinkommenBis))</f>
        <v xml:space="preserve">Zu berücksichtigen im Zeitraum </v>
      </c>
      <c r="B67" s="113"/>
      <c r="C67" s="103" t="s">
        <v>28</v>
      </c>
      <c r="D67" s="100"/>
      <c r="E67" s="105" t="s">
        <v>32</v>
      </c>
      <c r="F67" s="118"/>
      <c r="G67" s="119"/>
      <c r="H67" s="94"/>
      <c r="I67" s="88"/>
      <c r="J67" s="156" t="s">
        <v>99</v>
      </c>
    </row>
    <row r="68" spans="1:10" s="53" customFormat="1" ht="6" customHeight="1" x14ac:dyDescent="0.3">
      <c r="A68" s="103"/>
      <c r="B68" s="103"/>
      <c r="C68" s="103"/>
      <c r="D68" s="109"/>
      <c r="E68" s="105"/>
      <c r="F68" s="105"/>
      <c r="G68" s="98"/>
      <c r="H68" s="98"/>
      <c r="I68" s="88"/>
      <c r="J68" s="156"/>
    </row>
    <row r="69" spans="1:10" s="55" customFormat="1" ht="19.5" customHeight="1" x14ac:dyDescent="0.3">
      <c r="A69" s="112" t="s">
        <v>59</v>
      </c>
      <c r="B69" s="113"/>
      <c r="C69" s="79"/>
      <c r="D69" s="81"/>
      <c r="E69" s="72"/>
      <c r="F69" s="118"/>
      <c r="G69" s="119"/>
      <c r="H69" s="94"/>
      <c r="I69" s="88"/>
      <c r="J69" s="156"/>
    </row>
    <row r="70" spans="1:10" s="53" customFormat="1" ht="6" customHeight="1" x14ac:dyDescent="0.3">
      <c r="A70" s="112"/>
      <c r="B70" s="114"/>
      <c r="C70" s="116"/>
      <c r="D70" s="108"/>
      <c r="E70" s="105"/>
      <c r="F70" s="105"/>
      <c r="G70" s="117"/>
      <c r="H70" s="98"/>
      <c r="I70" s="88"/>
      <c r="J70" s="83"/>
    </row>
    <row r="71" spans="1:10" s="55" customFormat="1" ht="20.100000000000001" customHeight="1" x14ac:dyDescent="0.3">
      <c r="A71" s="112" t="s">
        <v>64</v>
      </c>
      <c r="B71" s="142"/>
      <c r="C71" s="112" t="s">
        <v>65</v>
      </c>
      <c r="D71" s="119"/>
      <c r="E71" s="119"/>
      <c r="F71" s="118"/>
      <c r="G71" s="119"/>
      <c r="H71" s="94"/>
      <c r="I71" s="88"/>
      <c r="J71" s="157" t="str">
        <f>"KFZ-Fahrtkosten: Standard bei Vollzeittätigkeit = " &amp; Standardanzahl_Arbeitstage &amp; " Arbeitstage / Jahr und " &amp; TEXT(kmPauschale,"#.##0,00") &amp; " € je Entfernungs-km (bis 20km) bzw. " &amp; TEXT(kmPauschale2,"#.##0,00") &amp; " € ab dem 21. km, orientiert am Steuerrecht. Tragen Sie ggf. eine andere Anzahl Arbeitstage ein, wenn der berücksichtigte Einkommenszeitraum abweichende Arbeitstage enthält bzw. mehr/weniger als 5 Tage je Woche gearbeitet wird."</f>
        <v>KFZ-Fahrtkosten: Standard bei Vollzeittätigkeit = 220 Arbeitstage / Jahr und 0,30 € je Entfernungs-km (bis 20km) bzw. 0,35 € ab dem 21. km, orientiert am Steuerrecht. Tragen Sie ggf. eine andere Anzahl Arbeitstage ein, wenn der berücksichtigte Einkommenszeitraum abweichende Arbeitstage enthält bzw. mehr/weniger als 5 Tage je Woche gearbeitet wird.</v>
      </c>
    </row>
    <row r="72" spans="1:10" s="53" customFormat="1" ht="6" customHeight="1" x14ac:dyDescent="0.3">
      <c r="A72" s="112"/>
      <c r="B72" s="63"/>
      <c r="C72" s="112"/>
      <c r="D72" s="108"/>
      <c r="E72" s="105"/>
      <c r="F72" s="105"/>
      <c r="G72" s="117"/>
      <c r="H72" s="98"/>
      <c r="I72" s="88"/>
      <c r="J72" s="157"/>
    </row>
    <row r="73" spans="1:10" s="55" customFormat="1" ht="20.100000000000001" customHeight="1" x14ac:dyDescent="0.3">
      <c r="A73" s="112" t="s">
        <v>66</v>
      </c>
      <c r="B73" s="143">
        <f>Standardanzahl_Arbeitstage</f>
        <v>220</v>
      </c>
      <c r="C73" s="112" t="str">
        <f>"Tagen in " &amp; IF(Einkommensmonate="","0",Einkommensmonate) &amp; " Monaten"</f>
        <v>Tagen in 0 Monaten</v>
      </c>
      <c r="D73" s="119"/>
      <c r="E73" s="119"/>
      <c r="F73" s="118"/>
      <c r="G73" s="119"/>
      <c r="H73" s="94"/>
      <c r="I73" s="88"/>
      <c r="J73" s="157"/>
    </row>
    <row r="74" spans="1:10" s="53" customFormat="1" ht="6" customHeight="1" x14ac:dyDescent="0.3">
      <c r="A74" s="103"/>
      <c r="B74" s="103"/>
      <c r="C74" s="112"/>
      <c r="D74" s="109"/>
      <c r="E74" s="91"/>
      <c r="F74" s="105"/>
      <c r="G74" s="98"/>
      <c r="H74" s="98"/>
      <c r="I74" s="88"/>
      <c r="J74" s="157"/>
    </row>
    <row r="75" spans="1:10" s="55" customFormat="1" ht="19.5" customHeight="1" x14ac:dyDescent="0.3">
      <c r="A75" s="112" t="str">
        <f>"Fahrtkosten für " &amp; ROUND(IF(Fahrtstrecke&gt;=biskm1+1,biskm1,IF(OR(Fahrtstrecke="",Fahrtstrecke&lt;=0)=TRUE,0,Fahrtstrecke)),0) &amp; " km x " &amp; TEXT(kmPauschale,"#.##0,00") &amp; " € x " &amp; Arbeitstage_Jahr &amp; " Tage / " &amp; Einkommensmonate &amp; " Monate"</f>
        <v>Fahrtkosten für 0 km x 0,30 € x 220 Tage /  Monate</v>
      </c>
      <c r="B75" s="113"/>
      <c r="C75" s="112"/>
      <c r="D75" s="115" t="s">
        <v>31</v>
      </c>
      <c r="E75" s="122" t="str">
        <f>IF(AuswahlEinkommensjahr=0,"",IF(AuswahlBetragsartEinkommenNST=0,"",IF(OR(Fahrtstrecke="",Fahrtstrecke&lt;=0,Arbeitstage_Jahr="",Arbeitstage_Jahr&lt;=0)=TRUE,0,IF(Fahrtstrecke&gt;=biskm1+1,biskm1,Fahrtstrecke) *kmPauschale*Arbeitstage_Jahr/Einkommensmonate)))</f>
        <v/>
      </c>
      <c r="F75" s="118"/>
      <c r="G75" s="119"/>
      <c r="H75" s="94"/>
      <c r="I75" s="88"/>
      <c r="J75" s="158" t="str">
        <f>"ÖPNV-Kosten oder Fahrtkosten, bei denen nicht die Entfernungspauschale von " &amp; TEXT(kmPauschale,"#.##0,00") &amp; " € je km anzuwenden ist, tragen Sie als 'Sonstige berufsbedingte Belastungen' ein und lassen in diesem Fall die Angabe der Entfernungs-KM bzw. Arbeitstage leer."</f>
        <v>ÖPNV-Kosten oder Fahrtkosten, bei denen nicht die Entfernungspauschale von 0,30 € je km anzuwenden ist, tragen Sie als 'Sonstige berufsbedingte Belastungen' ein und lassen in diesem Fall die Angabe der Entfernungs-KM bzw. Arbeitstage leer.</v>
      </c>
    </row>
    <row r="76" spans="1:10" s="55" customFormat="1" ht="6" customHeight="1" x14ac:dyDescent="0.3">
      <c r="A76" s="112"/>
      <c r="B76" s="113"/>
      <c r="C76" s="61"/>
      <c r="D76" s="115"/>
      <c r="E76" s="62"/>
      <c r="F76" s="118"/>
      <c r="G76" s="120"/>
      <c r="H76" s="94"/>
      <c r="I76" s="88"/>
      <c r="J76" s="158"/>
    </row>
    <row r="77" spans="1:10" s="55" customFormat="1" ht="19.5" customHeight="1" x14ac:dyDescent="0.3">
      <c r="A77" s="112" t="str">
        <f>IF(EinkommenVon&lt;&gt;"","Fahrtkosten für " &amp; IF(Fahrtstrecke &gt;=biskm1+1,Fahrtstrecke-biskm1,0) &amp; " km x " &amp; TEXT(IF(AND(YEAR(EinkommenVon)&gt;=kmPauschale3JahrVon,YEAR(EinkommenVon)&lt;=kmPauschale3JahrBis)=TRUE,kmPauschale3,kmPauschale2),"#.##0,00") &amp; " € x " &amp; Arbeitstage_Jahr &amp; " Tage / " &amp; Einkommensmonate &amp; " Monate","")</f>
        <v/>
      </c>
      <c r="B77" s="113"/>
      <c r="C77" s="112"/>
      <c r="D77" s="115" t="s">
        <v>31</v>
      </c>
      <c r="E77" s="122" t="str">
        <f>IF(AuswahlEinkommensjahr=0,"",IF(AuswahlBetragsartEinkommenNST=0,"",IF(OR(Fahrtstrecke="",Fahrtstrecke&lt;=0,Arbeitstage_Jahr="",Arbeitstage_Jahr&lt;=0)=TRUE,0,IF(Fahrtstrecke &gt;=biskm1+1,Fahrtstrecke-biskm1,0) * IF(AND(YEAR(EinkommenVon)&gt;=kmPauschale3JahrVon,YEAR(EinkommenVon)&lt;=kmPauschale3JahrBis)=TRUE,kmPauschale3,kmPauschale2) *Arbeitstage_Jahr/Einkommensmonate)))</f>
        <v/>
      </c>
      <c r="F77" s="118"/>
      <c r="G77" s="119"/>
      <c r="H77" s="94"/>
      <c r="I77" s="88"/>
      <c r="J77" s="158"/>
    </row>
    <row r="78" spans="1:10" s="55" customFormat="1" ht="6" customHeight="1" x14ac:dyDescent="0.3">
      <c r="A78" s="112"/>
      <c r="B78" s="113"/>
      <c r="C78" s="61"/>
      <c r="D78" s="115"/>
      <c r="E78" s="62"/>
      <c r="F78" s="118"/>
      <c r="G78" s="120"/>
      <c r="H78" s="94"/>
      <c r="I78" s="88"/>
      <c r="J78" s="158"/>
    </row>
    <row r="79" spans="1:10" s="55" customFormat="1" ht="20.100000000000001" customHeight="1" x14ac:dyDescent="0.3">
      <c r="A79" s="112" t="s">
        <v>67</v>
      </c>
      <c r="B79" s="113"/>
      <c r="C79" s="79"/>
      <c r="D79" s="115" t="s">
        <v>31</v>
      </c>
      <c r="E79" s="72"/>
      <c r="F79" s="118"/>
      <c r="G79" s="119"/>
      <c r="H79" s="94"/>
      <c r="I79" s="88"/>
      <c r="J79" s="158"/>
    </row>
    <row r="80" spans="1:10" s="55" customFormat="1" ht="6" customHeight="1" x14ac:dyDescent="0.3">
      <c r="A80" s="112"/>
      <c r="B80" s="113"/>
      <c r="C80" s="112"/>
      <c r="D80" s="115"/>
      <c r="E80" s="118"/>
      <c r="F80" s="118"/>
      <c r="G80" s="120"/>
      <c r="H80" s="94"/>
      <c r="I80" s="88"/>
      <c r="J80" s="83"/>
    </row>
    <row r="81" spans="1:10" s="55" customFormat="1" ht="20.100000000000001" customHeight="1" x14ac:dyDescent="0.3">
      <c r="A81" s="112" t="s">
        <v>50</v>
      </c>
      <c r="B81" s="113"/>
      <c r="C81" s="79"/>
      <c r="D81" s="115" t="s">
        <v>31</v>
      </c>
      <c r="E81" s="72"/>
      <c r="F81" s="118"/>
      <c r="G81" s="119"/>
      <c r="H81" s="94"/>
      <c r="I81" s="88"/>
      <c r="J81" s="156" t="s">
        <v>96</v>
      </c>
    </row>
    <row r="82" spans="1:10" s="55" customFormat="1" ht="6" customHeight="1" x14ac:dyDescent="0.3">
      <c r="A82" s="112"/>
      <c r="B82" s="113"/>
      <c r="C82" s="112"/>
      <c r="D82" s="115"/>
      <c r="E82" s="118"/>
      <c r="F82" s="118"/>
      <c r="G82" s="120"/>
      <c r="H82" s="94"/>
      <c r="I82" s="88"/>
      <c r="J82" s="156"/>
    </row>
    <row r="83" spans="1:10" s="55" customFormat="1" ht="20.100000000000001" customHeight="1" x14ac:dyDescent="0.3">
      <c r="A83" s="112" t="s">
        <v>73</v>
      </c>
      <c r="B83" s="113"/>
      <c r="C83" s="79"/>
      <c r="D83" s="115" t="s">
        <v>31</v>
      </c>
      <c r="E83" s="72"/>
      <c r="F83" s="118"/>
      <c r="G83" s="119"/>
      <c r="H83" s="94"/>
      <c r="I83" s="88"/>
      <c r="J83" s="156"/>
    </row>
    <row r="84" spans="1:10" s="53" customFormat="1" ht="6" customHeight="1" x14ac:dyDescent="0.3">
      <c r="A84" s="103"/>
      <c r="B84" s="114"/>
      <c r="C84" s="116"/>
      <c r="D84" s="108"/>
      <c r="E84" s="105"/>
      <c r="F84" s="105"/>
      <c r="G84" s="117"/>
      <c r="H84" s="98"/>
      <c r="I84" s="88"/>
      <c r="J84" s="83"/>
    </row>
    <row r="85" spans="1:10" s="55" customFormat="1" ht="20.100000000000001" customHeight="1" x14ac:dyDescent="0.3">
      <c r="A85" s="112" t="s">
        <v>60</v>
      </c>
      <c r="B85" s="124"/>
      <c r="C85" s="124"/>
      <c r="D85" s="108" t="s">
        <v>35</v>
      </c>
      <c r="E85" s="66" t="str">
        <f>IF(AuswahlBetragsartEinkommenNST=0,"",SUM(E69:E83))</f>
        <v/>
      </c>
      <c r="F85" s="95"/>
      <c r="G85" s="118"/>
      <c r="H85" s="94"/>
      <c r="I85" s="88" t="str">
        <f>IF(E85&lt;0,"Negative Werte sind unzulässig!","")</f>
        <v/>
      </c>
      <c r="J85" s="156" t="s">
        <v>97</v>
      </c>
    </row>
    <row r="86" spans="1:10" ht="6" customHeight="1" x14ac:dyDescent="0.3">
      <c r="A86" s="91"/>
      <c r="B86" s="91"/>
      <c r="C86" s="91"/>
      <c r="D86" s="109"/>
      <c r="E86" s="98"/>
      <c r="F86" s="92"/>
      <c r="G86" s="104"/>
      <c r="H86" s="91"/>
      <c r="I86" s="88"/>
      <c r="J86" s="156"/>
    </row>
    <row r="87" spans="1:10" s="55" customFormat="1" ht="20.100000000000001" customHeight="1" x14ac:dyDescent="0.3">
      <c r="A87" s="112" t="s">
        <v>61</v>
      </c>
      <c r="B87" s="125"/>
      <c r="C87" s="112"/>
      <c r="D87" s="115" t="s">
        <v>35</v>
      </c>
      <c r="E87" s="122" t="str">
        <f>IF(AuswahlBetragsartEinkommenNST=0,"",IF(AuswahlEinkommensjahr=0,"",ROUND(25%*G63,2)))</f>
        <v/>
      </c>
      <c r="F87" s="118"/>
      <c r="G87" s="163" t="s">
        <v>32</v>
      </c>
      <c r="H87" s="94"/>
      <c r="I87" s="88"/>
      <c r="J87" s="156"/>
    </row>
    <row r="88" spans="1:10" s="53" customFormat="1" ht="6" customHeight="1" x14ac:dyDescent="0.3">
      <c r="A88" s="103"/>
      <c r="B88" s="103"/>
      <c r="C88" s="103"/>
      <c r="D88" s="109"/>
      <c r="E88" s="105"/>
      <c r="F88" s="105"/>
      <c r="G88" s="163"/>
      <c r="H88" s="98"/>
      <c r="I88" s="88"/>
      <c r="J88" s="156"/>
    </row>
    <row r="89" spans="1:10" s="30" customFormat="1" ht="20.100000000000001" customHeight="1" x14ac:dyDescent="0.3">
      <c r="A89" s="112" t="s">
        <v>51</v>
      </c>
      <c r="B89" s="125"/>
      <c r="C89" s="112"/>
      <c r="D89" s="115"/>
      <c r="E89" s="66">
        <f>MAX(E85,E87)</f>
        <v>0</v>
      </c>
      <c r="F89" s="115" t="s">
        <v>44</v>
      </c>
      <c r="G89" s="128">
        <f>E89</f>
        <v>0</v>
      </c>
      <c r="H89" s="100"/>
      <c r="I89" s="88"/>
      <c r="J89" s="156"/>
    </row>
    <row r="90" spans="1:10" ht="6" customHeight="1" x14ac:dyDescent="0.3">
      <c r="A90" s="91"/>
      <c r="B90" s="91"/>
      <c r="C90" s="91"/>
      <c r="D90" s="109"/>
      <c r="E90" s="98"/>
      <c r="F90" s="92"/>
      <c r="G90" s="104"/>
      <c r="H90" s="91"/>
      <c r="I90" s="88"/>
      <c r="J90" s="83"/>
    </row>
    <row r="91" spans="1:10" s="67" customFormat="1" ht="20.100000000000001" customHeight="1" x14ac:dyDescent="0.3">
      <c r="A91" s="123" t="s">
        <v>72</v>
      </c>
      <c r="B91" s="123"/>
      <c r="C91" s="101"/>
      <c r="D91" s="126"/>
      <c r="E91" s="127"/>
      <c r="F91" s="126" t="s">
        <v>35</v>
      </c>
      <c r="G91" s="129" t="str">
        <f>IF(AuswahlEinkommensjahr=0,"",IF(AuswahlBetragsartEinkommenNST=0,"",ROUND(G63-G89,2)))</f>
        <v/>
      </c>
      <c r="H91" s="101"/>
      <c r="I91" s="88"/>
      <c r="J91" s="83" t="s">
        <v>78</v>
      </c>
    </row>
    <row r="92" spans="1:10" ht="18" customHeight="1" x14ac:dyDescent="0.3">
      <c r="A92" s="91"/>
      <c r="B92" s="91"/>
      <c r="C92" s="91"/>
      <c r="D92" s="92"/>
      <c r="E92" s="91"/>
      <c r="F92" s="92"/>
      <c r="G92" s="91"/>
      <c r="H92" s="91"/>
      <c r="I92" s="88"/>
      <c r="J92" s="83"/>
    </row>
    <row r="93" spans="1:10" ht="20.100000000000001" customHeight="1" x14ac:dyDescent="0.3">
      <c r="A93" s="57" t="s">
        <v>139</v>
      </c>
      <c r="B93" s="57"/>
      <c r="C93" s="57"/>
      <c r="D93" s="57"/>
      <c r="E93" s="57"/>
      <c r="F93" s="57"/>
      <c r="G93" s="57"/>
      <c r="H93" s="91"/>
      <c r="I93" s="88"/>
      <c r="J93" s="83"/>
    </row>
    <row r="94" spans="1:10" ht="18" customHeight="1" x14ac:dyDescent="0.3">
      <c r="A94" s="91"/>
      <c r="B94" s="91"/>
      <c r="C94" s="91"/>
      <c r="D94" s="92"/>
      <c r="E94" s="91"/>
      <c r="F94" s="92"/>
      <c r="G94" s="91"/>
      <c r="H94" s="91"/>
      <c r="I94" s="88"/>
      <c r="J94" s="83"/>
    </row>
    <row r="95" spans="1:10" s="26" customFormat="1" ht="20.100000000000001" customHeight="1" x14ac:dyDescent="0.3">
      <c r="A95" s="112" t="s">
        <v>119</v>
      </c>
      <c r="B95" s="149" t="s">
        <v>52</v>
      </c>
      <c r="C95" s="149"/>
      <c r="D95" s="149"/>
      <c r="E95" s="160" t="str">
        <f>"(Beitragsstufe " &amp; Auswahlwerte!B25 &amp; " der KostenbeitragsVO)"</f>
        <v>(Beitragsstufe 0 der KostenbeitragsVO)</v>
      </c>
      <c r="F95" s="160"/>
      <c r="G95" s="160"/>
      <c r="H95" s="102"/>
      <c r="I95" s="88" t="str">
        <f>IF(Beitragsstufe=0,"Bitte Auswahl treffen!","")</f>
        <v>Bitte Auswahl treffen!</v>
      </c>
      <c r="J95" s="83" t="s">
        <v>98</v>
      </c>
    </row>
    <row r="96" spans="1:10" ht="18" customHeight="1" x14ac:dyDescent="0.3">
      <c r="A96" s="91"/>
      <c r="B96" s="91"/>
      <c r="C96" s="91"/>
      <c r="D96" s="92"/>
      <c r="E96" s="91"/>
      <c r="F96" s="92"/>
      <c r="G96" s="91"/>
      <c r="H96" s="91"/>
      <c r="I96" s="88"/>
      <c r="J96" s="83"/>
    </row>
    <row r="97" spans="1:10" s="26" customFormat="1" ht="20.100000000000001" customHeight="1" x14ac:dyDescent="0.3">
      <c r="A97" s="112" t="str">
        <f>"Das Einkommen von " &amp; TEXT(MaßgeblEinkommen,"#.##0,00 €") &amp; " entspricht in der Kostenbeitragstabelle zunächst der Einkommensgruppe " &amp; Parameter!B26 &amp; "   " &amp; VorlEinkGruppeBez &amp;"."</f>
        <v>Das Einkommen von  entspricht in der Kostenbeitragstabelle zunächst der Einkommensgruppe 0   (über 5.500,99 €).</v>
      </c>
      <c r="B97" s="102"/>
      <c r="C97" s="102"/>
      <c r="D97" s="130"/>
      <c r="E97" s="112"/>
      <c r="F97" s="112"/>
      <c r="G97" s="115"/>
      <c r="H97" s="102"/>
      <c r="I97" s="88"/>
      <c r="J97" s="159" t="s">
        <v>101</v>
      </c>
    </row>
    <row r="98" spans="1:10" ht="6" customHeight="1" x14ac:dyDescent="0.3">
      <c r="A98" s="91"/>
      <c r="B98" s="91"/>
      <c r="C98" s="91"/>
      <c r="D98" s="92"/>
      <c r="E98" s="91"/>
      <c r="F98" s="92"/>
      <c r="G98" s="91"/>
      <c r="H98" s="91"/>
      <c r="I98" s="88"/>
      <c r="J98" s="159"/>
    </row>
    <row r="99" spans="1:10" s="26" customFormat="1" ht="20.100000000000001" customHeight="1" x14ac:dyDescent="0.3">
      <c r="A99" s="112" t="s">
        <v>115</v>
      </c>
      <c r="B99" s="112"/>
      <c r="C99" s="112"/>
      <c r="D99" s="112"/>
      <c r="E99" s="112"/>
      <c r="F99" s="109"/>
      <c r="G99" s="77">
        <v>0</v>
      </c>
      <c r="H99" s="102"/>
      <c r="I99" s="88" t="str">
        <f>IF(AnzWeitereUHBerechtigte="","Bitte Anzahl oder 0 eingeben!","")</f>
        <v/>
      </c>
      <c r="J99" s="159"/>
    </row>
    <row r="100" spans="1:10" ht="6" customHeight="1" x14ac:dyDescent="0.3">
      <c r="A100" s="91"/>
      <c r="B100" s="91"/>
      <c r="C100" s="91"/>
      <c r="D100" s="92"/>
      <c r="E100" s="91"/>
      <c r="F100" s="92"/>
      <c r="G100" s="92"/>
      <c r="H100" s="91"/>
      <c r="I100" s="88"/>
      <c r="J100" s="83"/>
    </row>
    <row r="101" spans="1:10" s="26" customFormat="1" ht="20.100000000000001" customHeight="1" x14ac:dyDescent="0.3">
      <c r="A101" s="112" t="s">
        <v>156</v>
      </c>
      <c r="B101" s="102"/>
      <c r="C101" s="102"/>
      <c r="D101" s="109"/>
      <c r="E101" s="102"/>
      <c r="F101" s="109"/>
      <c r="G101" s="115"/>
      <c r="H101" s="102"/>
      <c r="I101" s="88"/>
      <c r="J101" s="156" t="s">
        <v>116</v>
      </c>
    </row>
    <row r="102" spans="1:10" ht="20.100000000000001" customHeight="1" x14ac:dyDescent="0.25">
      <c r="A102" s="146" t="str">
        <f>"Gruppe zuzuordnen, ein Einkommen der Gruppen 7 bis 14 je weiterer Unterhaltspflicht einer um 1 Stufe niedrigeren Gruppe. "</f>
        <v xml:space="preserve">Gruppe zuzuordnen, ein Einkommen der Gruppen 7 bis 14 je weiterer Unterhaltspflicht einer um 1 Stufe niedrigeren Gruppe. </v>
      </c>
      <c r="B102" s="91"/>
      <c r="C102" s="91"/>
      <c r="D102" s="92"/>
      <c r="E102" s="91"/>
      <c r="F102" s="92"/>
      <c r="G102" s="115"/>
      <c r="H102" s="91"/>
      <c r="I102" s="88"/>
      <c r="J102" s="156"/>
    </row>
    <row r="103" spans="1:10" ht="6" customHeight="1" x14ac:dyDescent="0.3">
      <c r="A103" s="91"/>
      <c r="B103" s="91"/>
      <c r="C103" s="91"/>
      <c r="D103" s="92"/>
      <c r="E103" s="91"/>
      <c r="F103" s="92"/>
      <c r="G103" s="91"/>
      <c r="H103" s="91"/>
      <c r="I103" s="88"/>
      <c r="J103" s="156"/>
    </row>
    <row r="104" spans="1:10" ht="20.100000000000001" customHeight="1" x14ac:dyDescent="0.3">
      <c r="A104" s="112" t="str">
        <f>"Es erfolgt nach § 4 Abs. 1 KostenbeitragsVO daher die Zuordnung zur Einkommensgruppe " &amp; EKGruppeVJ§4 &amp; ". "</f>
        <v xml:space="preserve">Es erfolgt nach § 4 Abs. 1 KostenbeitragsVO daher die Zuordnung zur Einkommensgruppe 1. </v>
      </c>
      <c r="B104" s="91"/>
      <c r="C104" s="91"/>
      <c r="D104" s="92"/>
      <c r="E104" s="112"/>
      <c r="F104" s="92"/>
      <c r="G104" s="91"/>
      <c r="H104" s="91"/>
      <c r="I104" s="88"/>
      <c r="J104" s="156"/>
    </row>
    <row r="105" spans="1:10" ht="20.100000000000001" customHeight="1" x14ac:dyDescent="0.25">
      <c r="A105" s="146" t="str">
        <f>IF(Beitragsstufe=0,"",IF(EKGruppeVJ§4&gt;10,"Gemäß § 6 Satz 1 KostenbeitragsVO ist jedoch maximal eine Zuordnung zu Gruppe 10 möglich. ",IF(OR(EKGruppeVJ§4=2,EKGruppeVJ§4=3)=TRUE,"Sodann ist nach § 6 Satz 2 KostenbeitragsVO bei einer Zuordnung zur Gruppe "&amp;EKGruppeVJ§4&amp;" endgültig Gruppe 1 zuzuordnen. ",IF(EKGruppeVJ§4=4,"Sodann ist nach § 6 Satz 3 KostenbeitragsVO bei einer Zuordnung zur Gruppe "&amp;EKGruppeVJ§4&amp;" endgültig Gruppe 2 zuzuordnen. ",""))))</f>
        <v/>
      </c>
      <c r="B105" s="91"/>
      <c r="C105" s="91"/>
      <c r="D105" s="92"/>
      <c r="E105" s="112"/>
      <c r="F105" s="92"/>
      <c r="G105" s="163" t="s">
        <v>32</v>
      </c>
      <c r="H105" s="91"/>
      <c r="I105" s="88"/>
      <c r="J105" s="84"/>
    </row>
    <row r="106" spans="1:10" ht="6" customHeight="1" x14ac:dyDescent="0.3">
      <c r="A106" s="91"/>
      <c r="B106" s="91"/>
      <c r="C106" s="91"/>
      <c r="D106" s="92"/>
      <c r="E106" s="91"/>
      <c r="F106" s="92"/>
      <c r="G106" s="163"/>
      <c r="H106" s="91"/>
      <c r="I106" s="88"/>
      <c r="J106" s="83"/>
    </row>
    <row r="107" spans="1:10" s="26" customFormat="1" ht="20.100000000000001" customHeight="1" x14ac:dyDescent="0.3">
      <c r="A107" s="112" t="str">
        <f>"Es ergibt sich ein Kostenbeitrag nach Beitragsstufe " &amp; Beitragsstufe &amp; ", endgültiger Einkommensgruppe " &amp; IF(MaßgeblEinkGruppe=0,1,MaßgeblEinkGruppe) &amp; " der Kostenbeitragstabelle"</f>
        <v>Es ergibt sich ein Kostenbeitrag nach Beitragsstufe 0, endgültiger Einkommensgruppe 1 der Kostenbeitragstabelle</v>
      </c>
      <c r="B107" s="102"/>
      <c r="C107" s="102"/>
      <c r="D107" s="109"/>
      <c r="E107" s="102"/>
      <c r="F107" s="109"/>
      <c r="G107" s="66">
        <f>IF(Beitragsstufe=0,0,IF(MaßgeblEinkGruppe&gt;=15,VLOOKUP(Beitragsstufe,Parameter!B35:D38,3,0),VLOOKUP(Beitragsstufe,Auswahlwerte!B26:C30,2,0)))</f>
        <v>0</v>
      </c>
      <c r="H107" s="102"/>
      <c r="I107" s="88"/>
      <c r="J107" s="150" t="s">
        <v>140</v>
      </c>
    </row>
    <row r="108" spans="1:10" ht="20.100000000000001" customHeight="1" x14ac:dyDescent="0.3">
      <c r="A108" s="91"/>
      <c r="B108" s="91"/>
      <c r="C108" s="91"/>
      <c r="D108" s="92"/>
      <c r="E108" s="91"/>
      <c r="F108" s="92"/>
      <c r="G108" s="91"/>
      <c r="H108" s="91"/>
      <c r="I108" s="134"/>
      <c r="J108" s="150"/>
    </row>
    <row r="109" spans="1:10" s="26" customFormat="1" ht="20.100000000000001" customHeight="1" x14ac:dyDescent="0.3">
      <c r="A109" s="93" t="s">
        <v>141</v>
      </c>
      <c r="B109" s="102"/>
      <c r="C109" s="102"/>
      <c r="D109" s="109"/>
      <c r="E109" s="102"/>
      <c r="F109" s="109"/>
      <c r="G109" s="137"/>
      <c r="H109" s="102"/>
      <c r="I109" s="134"/>
      <c r="J109" s="85"/>
    </row>
    <row r="110" spans="1:10" ht="6" customHeight="1" x14ac:dyDescent="0.3">
      <c r="A110" s="91"/>
      <c r="B110" s="91"/>
      <c r="C110" s="91"/>
      <c r="D110" s="92"/>
      <c r="E110" s="91"/>
      <c r="F110" s="92"/>
      <c r="G110" s="91"/>
      <c r="H110" s="91"/>
      <c r="I110" s="134"/>
      <c r="J110" s="150" t="s">
        <v>148</v>
      </c>
    </row>
    <row r="111" spans="1:10" s="26" customFormat="1" ht="20.100000000000001" customHeight="1" x14ac:dyDescent="0.3">
      <c r="A111" s="149" t="s">
        <v>52</v>
      </c>
      <c r="B111" s="149"/>
      <c r="C111" s="149"/>
      <c r="D111" s="109"/>
      <c r="E111" s="112" t="str">
        <f>IF(Auswahlwerte!B33=0,"",IF(Auswahlwerte!B33&lt;&gt;2,"keine ",Auswahlwerte!C33&amp;"% ")&amp;"Freilassung")</f>
        <v/>
      </c>
      <c r="F111" s="109" t="s">
        <v>44</v>
      </c>
      <c r="G111" s="128">
        <f>G107*Auswahlwerte!C33/100</f>
        <v>0</v>
      </c>
      <c r="H111" s="102"/>
      <c r="I111" s="134" t="str">
        <f>IF(OR(Auswahlwerte!B33=0,Auswahlwerte!B33="")=TRUE,"Bitte Auswahl treffen!","")</f>
        <v>Bitte Auswahl treffen!</v>
      </c>
      <c r="J111" s="150"/>
    </row>
    <row r="112" spans="1:10" ht="20.100000000000001" customHeight="1" thickBot="1" x14ac:dyDescent="0.35">
      <c r="A112" s="91"/>
      <c r="B112" s="91"/>
      <c r="C112" s="91"/>
      <c r="D112" s="92"/>
      <c r="E112" s="91"/>
      <c r="F112" s="92"/>
      <c r="G112" s="91"/>
      <c r="H112" s="91"/>
      <c r="I112" s="134"/>
      <c r="J112" s="150"/>
    </row>
    <row r="113" spans="1:10" s="26" customFormat="1" ht="20.100000000000001" customHeight="1" thickBot="1" x14ac:dyDescent="0.35">
      <c r="A113" s="123" t="s">
        <v>138</v>
      </c>
      <c r="B113" s="102"/>
      <c r="C113" s="102"/>
      <c r="D113" s="109"/>
      <c r="E113" s="102"/>
      <c r="F113" s="109"/>
      <c r="G113" s="68">
        <f>G107-G111</f>
        <v>0</v>
      </c>
      <c r="H113" s="102"/>
      <c r="I113" s="151" t="str">
        <f>IF(OR(Berechnungsbeginn="",GeburtsdatumJM="",Auswahlwerte!B3=0,EinkommenVon="",EinkommenBis="",Einkommensmonate="",BetragsartEinkommenNST="",Auswahlwerte!B25=0,AnzWeitereUHBerechtigte="",Auswahlwerte!B33=0)=TRUE,"In mindestens einem Pflichtfeld fehlt eine Angabe/Auswahl!","")</f>
        <v>In mindestens einem Pflichtfeld fehlt eine Angabe/Auswahl!</v>
      </c>
      <c r="J113" s="85"/>
    </row>
    <row r="114" spans="1:10" s="26" customFormat="1" ht="20.100000000000001" customHeight="1" x14ac:dyDescent="0.3">
      <c r="A114" s="102"/>
      <c r="B114" s="102"/>
      <c r="C114" s="102"/>
      <c r="D114" s="109"/>
      <c r="E114" s="102"/>
      <c r="F114" s="109"/>
      <c r="G114" s="102"/>
      <c r="H114" s="102"/>
      <c r="I114" s="151"/>
      <c r="J114" s="85"/>
    </row>
    <row r="115" spans="1:10" s="26" customFormat="1" ht="20.100000000000001" customHeight="1" x14ac:dyDescent="0.3">
      <c r="A115" s="57" t="s">
        <v>114</v>
      </c>
      <c r="B115" s="57"/>
      <c r="C115" s="57"/>
      <c r="D115" s="57"/>
      <c r="E115" s="57"/>
      <c r="F115" s="57"/>
      <c r="G115" s="57"/>
      <c r="H115" s="102"/>
      <c r="I115" s="88"/>
      <c r="J115" s="85"/>
    </row>
    <row r="116" spans="1:10" s="26" customFormat="1" ht="6" customHeight="1" x14ac:dyDescent="0.3">
      <c r="A116" s="102"/>
      <c r="B116" s="102"/>
      <c r="C116" s="102"/>
      <c r="D116" s="109"/>
      <c r="E116" s="102"/>
      <c r="F116" s="109"/>
      <c r="G116" s="102"/>
      <c r="H116" s="102"/>
      <c r="I116" s="88"/>
      <c r="J116" s="85"/>
    </row>
    <row r="117" spans="1:10" s="26" customFormat="1" ht="20.100000000000001" customHeight="1" x14ac:dyDescent="0.3">
      <c r="A117" s="152"/>
      <c r="B117" s="152"/>
      <c r="C117" s="152"/>
      <c r="D117" s="152"/>
      <c r="E117" s="152"/>
      <c r="F117" s="152"/>
      <c r="G117" s="152"/>
      <c r="H117" s="102"/>
      <c r="I117" s="88"/>
      <c r="J117" s="161" t="s">
        <v>117</v>
      </c>
    </row>
    <row r="118" spans="1:10" s="26" customFormat="1" ht="20.100000000000001" customHeight="1" x14ac:dyDescent="0.3">
      <c r="A118" s="152"/>
      <c r="B118" s="152"/>
      <c r="C118" s="152"/>
      <c r="D118" s="152"/>
      <c r="E118" s="152"/>
      <c r="F118" s="152"/>
      <c r="G118" s="152"/>
      <c r="H118" s="102"/>
      <c r="I118" s="88"/>
      <c r="J118" s="161"/>
    </row>
    <row r="119" spans="1:10" s="26" customFormat="1" ht="20.100000000000001" customHeight="1" x14ac:dyDescent="0.3">
      <c r="A119" s="152"/>
      <c r="B119" s="152"/>
      <c r="C119" s="152"/>
      <c r="D119" s="152"/>
      <c r="E119" s="152"/>
      <c r="F119" s="152"/>
      <c r="G119" s="152"/>
      <c r="H119" s="102"/>
      <c r="I119" s="88"/>
      <c r="J119" s="161"/>
    </row>
    <row r="120" spans="1:10" s="26" customFormat="1" ht="20.100000000000001" customHeight="1" x14ac:dyDescent="0.3">
      <c r="A120" s="153"/>
      <c r="B120" s="153"/>
      <c r="C120" s="153"/>
      <c r="D120" s="153"/>
      <c r="E120" s="153"/>
      <c r="F120" s="153"/>
      <c r="G120" s="153"/>
      <c r="H120" s="102"/>
      <c r="I120" s="88"/>
      <c r="J120" s="161"/>
    </row>
    <row r="121" spans="1:10" s="26" customFormat="1" ht="20.100000000000001" customHeight="1" x14ac:dyDescent="0.3">
      <c r="A121" s="131"/>
      <c r="B121" s="131"/>
      <c r="C121" s="131"/>
      <c r="D121" s="131"/>
      <c r="E121" s="131"/>
      <c r="F121" s="131"/>
      <c r="G121" s="131"/>
      <c r="H121" s="102"/>
      <c r="I121" s="89"/>
      <c r="J121" s="83"/>
    </row>
    <row r="122" spans="1:10" s="26" customFormat="1" ht="21.9" customHeight="1" x14ac:dyDescent="0.3">
      <c r="A122" s="102"/>
      <c r="B122" s="102"/>
      <c r="C122" s="102"/>
      <c r="D122" s="109"/>
      <c r="E122" s="102"/>
      <c r="F122" s="109"/>
      <c r="G122" s="102"/>
      <c r="H122" s="102"/>
      <c r="I122" s="88"/>
      <c r="J122" s="87"/>
    </row>
    <row r="123" spans="1:10" s="26" customFormat="1" ht="21.9" customHeight="1" x14ac:dyDescent="0.3">
      <c r="A123" s="57" t="s">
        <v>85</v>
      </c>
      <c r="B123" s="57"/>
      <c r="C123" s="57"/>
      <c r="D123" s="57"/>
      <c r="E123" s="57"/>
      <c r="F123" s="57"/>
      <c r="G123" s="57"/>
      <c r="H123" s="102"/>
      <c r="I123" s="88"/>
      <c r="J123" s="87"/>
    </row>
    <row r="124" spans="1:10" s="26" customFormat="1" ht="6" customHeight="1" x14ac:dyDescent="0.3">
      <c r="A124" s="102"/>
      <c r="B124" s="102"/>
      <c r="C124" s="102"/>
      <c r="D124" s="109"/>
      <c r="E124" s="102"/>
      <c r="F124" s="109"/>
      <c r="G124" s="102"/>
      <c r="H124" s="102"/>
      <c r="I124" s="88"/>
      <c r="J124" s="87"/>
    </row>
    <row r="125" spans="1:10" s="26" customFormat="1" ht="21.9" customHeight="1" x14ac:dyDescent="0.3">
      <c r="A125" s="69" t="s">
        <v>112</v>
      </c>
      <c r="B125" s="148" t="s">
        <v>113</v>
      </c>
      <c r="C125" s="148"/>
      <c r="D125" s="148"/>
      <c r="E125" s="148" t="str">
        <f>"Kostenbeitrag in Beitragsstufe " &amp; Beitragsstufe</f>
        <v>Kostenbeitrag in Beitragsstufe 0</v>
      </c>
      <c r="F125" s="148"/>
      <c r="G125" s="148"/>
      <c r="H125" s="102"/>
      <c r="I125" s="88"/>
      <c r="J125" s="87"/>
    </row>
    <row r="126" spans="1:10" s="26" customFormat="1" ht="21.9" customHeight="1" x14ac:dyDescent="0.3">
      <c r="A126" s="70" t="str">
        <f>"Gruppe " &amp; Parameter!A10 &amp; IF(Parameter!A10=VorlEinkommensgruppe," &lt;&lt; vorläufig ","") &amp; IF(Parameter!A10=MaßgeblEinkGruppe," &lt;&lt; endgültig","")</f>
        <v>Gruppe 1 &lt;&lt; endgültig</v>
      </c>
      <c r="B126" s="147" t="str">
        <f>"0,00 € bis " &amp; TEXT(Parameter!B10,"#.##0,00 €")</f>
        <v>0,00 € bis 1.524,99 €</v>
      </c>
      <c r="C126" s="147"/>
      <c r="D126" s="147"/>
      <c r="E126" s="154" t="str">
        <f>IF(OR(Parameter!A10=MaßgeblEinkGruppe,MaßgeblEinkGruppe=0)=TRUE," Ihr Kostenbeitrag &gt;&gt;  ","") &amp; TEXT(IF(Beitragsstufe=1,Parameter!C10,IF(Beitragsstufe=2,Parameter!D10,IF(Beitragsstufe=3,Parameter!E10,IF(Beitragsstufe=4,Parameter!F10,0)))),"#.##0,00 €")</f>
        <v xml:space="preserve"> Ihr Kostenbeitrag &gt;&gt;  0,00 €</v>
      </c>
      <c r="F126" s="154"/>
      <c r="G126" s="154"/>
      <c r="H126" s="102"/>
      <c r="I126" s="88"/>
      <c r="J126" s="87"/>
    </row>
    <row r="127" spans="1:10" s="26" customFormat="1" ht="21.9" customHeight="1" x14ac:dyDescent="0.3">
      <c r="A127" s="70" t="str">
        <f>"Gruppe " &amp; Parameter!A11 &amp; IF(Parameter!A11=VorlEinkommensgruppe," &lt;&lt; vorläufig ","") &amp; IF(Parameter!A11=MaßgeblEinkGruppe," &lt;&lt; endgültig","")</f>
        <v>Gruppe 2</v>
      </c>
      <c r="B127" s="147" t="str">
        <f>TEXT(Parameter!B10+0.01,"#.##0,00 €")&amp; " bis " &amp; TEXT(Parameter!B11,"#.##0,00 €")</f>
        <v>1.525,00 € bis 1.800,99 €</v>
      </c>
      <c r="C127" s="147"/>
      <c r="D127" s="147"/>
      <c r="E127" s="154" t="str">
        <f>IF(OR(Parameter!A11=MaßgeblEinkGruppe,MaßgeblEinkGruppe=0)=TRUE," Ihr Kostenbeitrag &gt;&gt;  ","") &amp; TEXT(IF(Beitragsstufe=1,Parameter!C11,IF(Beitragsstufe=2,Parameter!D11,IF(Beitragsstufe=3,Parameter!E11,IF(Beitragsstufe=4,Parameter!F11,0)))),"#.##0,00 €")</f>
        <v>0,00 €</v>
      </c>
      <c r="F127" s="154"/>
      <c r="G127" s="154"/>
      <c r="H127" s="102"/>
      <c r="I127" s="88"/>
      <c r="J127" s="87"/>
    </row>
    <row r="128" spans="1:10" s="26" customFormat="1" ht="21.9" customHeight="1" x14ac:dyDescent="0.3">
      <c r="A128" s="70" t="str">
        <f>"Gruppe " &amp; Parameter!A12 &amp; IF(Parameter!A12=VorlEinkommensgruppe," &lt;&lt; vorläufig ","") &amp; IF(Parameter!A12=MaßgeblEinkGruppe," &lt;&lt; endgültig","")</f>
        <v>Gruppe 3</v>
      </c>
      <c r="B128" s="147" t="str">
        <f>TEXT(Parameter!B11+0.01,"#.##0,00 €")&amp; " bis " &amp; TEXT(Parameter!B12,"#.##0,00 €")</f>
        <v>1.801,00 € bis 2.000,99 €</v>
      </c>
      <c r="C128" s="147"/>
      <c r="D128" s="147"/>
      <c r="E128" s="154" t="str">
        <f>IF(OR(Parameter!A12=MaßgeblEinkGruppe,MaßgeblEinkGruppe=0)=TRUE," Ihr Kostenbeitrag &gt;&gt;  ","") &amp; TEXT(IF(Beitragsstufe=1,Parameter!C12,IF(Beitragsstufe=2,Parameter!D12,IF(Beitragsstufe=3,Parameter!E12,IF(Beitragsstufe=4,Parameter!F12,0)))),"#.##0,00 €")</f>
        <v>0,00 €</v>
      </c>
      <c r="F128" s="154"/>
      <c r="G128" s="154"/>
      <c r="H128" s="102"/>
      <c r="I128" s="88"/>
      <c r="J128" s="87"/>
    </row>
    <row r="129" spans="1:10" s="26" customFormat="1" ht="21.9" customHeight="1" x14ac:dyDescent="0.3">
      <c r="A129" s="70" t="str">
        <f>"Gruppe " &amp; Parameter!A13 &amp; IF(Parameter!A13=VorlEinkommensgruppe," &lt;&lt; vorläufig ","") &amp; IF(Parameter!A13=MaßgeblEinkGruppe," &lt;&lt; endgültig","")</f>
        <v>Gruppe 4</v>
      </c>
      <c r="B129" s="147" t="str">
        <f>TEXT(Parameter!B12+0.01,"#.##0,00 €")&amp; " bis " &amp; TEXT(Parameter!B13,"#.##0,00 €")</f>
        <v>2.001,00 € bis 2.200,99 €</v>
      </c>
      <c r="C129" s="147"/>
      <c r="D129" s="147"/>
      <c r="E129" s="154" t="str">
        <f>IF(OR(Parameter!A13=MaßgeblEinkGruppe,MaßgeblEinkGruppe=0)=TRUE," Ihr Kostenbeitrag &gt;&gt;  ","") &amp; TEXT(IF(Beitragsstufe=1,Parameter!C13,IF(Beitragsstufe=2,Parameter!D13,IF(Beitragsstufe=3,Parameter!E13,IF(Beitragsstufe=4,Parameter!F13,0)))),"#.##0,00 €")</f>
        <v>0,00 €</v>
      </c>
      <c r="F129" s="154"/>
      <c r="G129" s="154"/>
      <c r="H129" s="102"/>
      <c r="I129" s="88"/>
      <c r="J129" s="87"/>
    </row>
    <row r="130" spans="1:10" s="26" customFormat="1" ht="21.9" customHeight="1" x14ac:dyDescent="0.3">
      <c r="A130" s="70" t="str">
        <f>"Gruppe " &amp; Parameter!A14 &amp; IF(Parameter!A14=VorlEinkommensgruppe," &lt;&lt; vorläufig ","") &amp; IF(Parameter!A14=MaßgeblEinkGruppe," &lt;&lt; endgültig","")</f>
        <v>Gruppe 5</v>
      </c>
      <c r="B130" s="147" t="str">
        <f>TEXT(Parameter!B13+0.01,"#.##0,00 €")&amp; " bis " &amp; TEXT(Parameter!B14,"#.##0,00 €")</f>
        <v>2.201,00 € bis 2.400,99 €</v>
      </c>
      <c r="C130" s="147"/>
      <c r="D130" s="147"/>
      <c r="E130" s="154" t="str">
        <f>IF(OR(Parameter!A14=MaßgeblEinkGruppe,MaßgeblEinkGruppe=0)=TRUE," Ihr Kostenbeitrag &gt;&gt;  ","") &amp; TEXT(IF(Beitragsstufe=1,Parameter!C14,IF(Beitragsstufe=2,Parameter!D14,IF(Beitragsstufe=3,Parameter!E14,IF(Beitragsstufe=4,Parameter!F14,0)))),"#.##0,00 €")</f>
        <v>0,00 €</v>
      </c>
      <c r="F130" s="154"/>
      <c r="G130" s="154"/>
      <c r="H130" s="102"/>
      <c r="I130" s="88"/>
      <c r="J130" s="87"/>
    </row>
    <row r="131" spans="1:10" s="26" customFormat="1" ht="21.9" customHeight="1" x14ac:dyDescent="0.3">
      <c r="A131" s="70" t="str">
        <f>"Gruppe " &amp; Parameter!A15 &amp; IF(Parameter!A15=VorlEinkommensgruppe," &lt;&lt; vorläufig ","") &amp; IF(Parameter!A15=MaßgeblEinkGruppe," &lt;&lt; endgültig","")</f>
        <v>Gruppe 6</v>
      </c>
      <c r="B131" s="147" t="str">
        <f>TEXT(Parameter!B14+0.01,"#.##0,00 €")&amp; " bis " &amp; TEXT(Parameter!B15,"#.##0,00 €")</f>
        <v>2.401,00 € bis 2.700,99 €</v>
      </c>
      <c r="C131" s="147"/>
      <c r="D131" s="147"/>
      <c r="E131" s="154" t="str">
        <f>IF(OR(Parameter!A15=MaßgeblEinkGruppe,MaßgeblEinkGruppe=0)=TRUE," Ihr Kostenbeitrag &gt;&gt;  ","") &amp; TEXT(IF(Beitragsstufe=1,Parameter!C15,IF(Beitragsstufe=2,Parameter!D15,IF(Beitragsstufe=3,Parameter!E15,IF(Beitragsstufe=4,Parameter!F15,0)))),"#.##0,00 €")</f>
        <v>0,00 €</v>
      </c>
      <c r="F131" s="154"/>
      <c r="G131" s="154"/>
      <c r="H131" s="102"/>
      <c r="I131" s="88"/>
      <c r="J131" s="87"/>
    </row>
    <row r="132" spans="1:10" s="26" customFormat="1" ht="21.9" customHeight="1" x14ac:dyDescent="0.3">
      <c r="A132" s="70" t="str">
        <f>"Gruppe " &amp; Parameter!A16 &amp; IF(Parameter!A16=VorlEinkommensgruppe," &lt;&lt; vorläufig ","") &amp; IF(Parameter!A16=MaßgeblEinkGruppe," &lt;&lt; endgültig","")</f>
        <v>Gruppe 7</v>
      </c>
      <c r="B132" s="147" t="str">
        <f>TEXT(Parameter!B15+0.01,"#.##0,00 €")&amp; " bis " &amp; TEXT(Parameter!B16,"#.##0,00 €")</f>
        <v>2.701,00 € bis 3.000,99 €</v>
      </c>
      <c r="C132" s="147"/>
      <c r="D132" s="147"/>
      <c r="E132" s="154" t="str">
        <f>IF(OR(Parameter!A16=MaßgeblEinkGruppe,MaßgeblEinkGruppe=0)=TRUE," Ihr Kostenbeitrag &gt;&gt;  ","") &amp; TEXT(IF(Beitragsstufe=1,Parameter!C16,IF(Beitragsstufe=2,Parameter!D16,IF(Beitragsstufe=3,Parameter!E16,IF(Beitragsstufe=4,Parameter!F16,0)))),"#.##0,00 €")</f>
        <v>0,00 €</v>
      </c>
      <c r="F132" s="154"/>
      <c r="G132" s="154"/>
      <c r="H132" s="102"/>
      <c r="I132" s="88"/>
      <c r="J132" s="87"/>
    </row>
    <row r="133" spans="1:10" s="26" customFormat="1" ht="21.9" customHeight="1" x14ac:dyDescent="0.3">
      <c r="A133" s="70" t="str">
        <f>"Gruppe " &amp; Parameter!A17 &amp; IF(Parameter!A17=VorlEinkommensgruppe," &lt;&lt; vorläufig ","") &amp; IF(Parameter!A17=MaßgeblEinkGruppe," &lt;&lt; endgültig","")</f>
        <v>Gruppe 8</v>
      </c>
      <c r="B133" s="147" t="str">
        <f>TEXT(Parameter!B16+0.01,"#.##0,00 €")&amp; " bis " &amp; TEXT(Parameter!B17,"#.##0,00 €")</f>
        <v>3.001,00 € bis 3.300,99 €</v>
      </c>
      <c r="C133" s="147"/>
      <c r="D133" s="147"/>
      <c r="E133" s="154" t="str">
        <f>IF(OR(Parameter!A17=MaßgeblEinkGruppe,MaßgeblEinkGruppe=0)=TRUE," Ihr Kostenbeitrag &gt;&gt;  ","") &amp; TEXT(IF(Beitragsstufe=1,Parameter!C17,IF(Beitragsstufe=2,Parameter!D17,IF(Beitragsstufe=3,Parameter!E17,IF(Beitragsstufe=4,Parameter!F17,0)))),"#.##0,00 €")</f>
        <v>0,00 €</v>
      </c>
      <c r="F133" s="154"/>
      <c r="G133" s="154"/>
      <c r="H133" s="102"/>
      <c r="I133" s="88"/>
      <c r="J133" s="87"/>
    </row>
    <row r="134" spans="1:10" s="26" customFormat="1" ht="21.9" customHeight="1" x14ac:dyDescent="0.3">
      <c r="A134" s="70" t="str">
        <f>"Gruppe " &amp; Parameter!A18 &amp; IF(Parameter!A18=VorlEinkommensgruppe," &lt;&lt; vorläufig ","") &amp; IF(Parameter!A18=MaßgeblEinkGruppe," &lt;&lt; endgültig","")</f>
        <v>Gruppe 9</v>
      </c>
      <c r="B134" s="147" t="str">
        <f>TEXT(Parameter!B17+0.01,"#.##0,00 €")&amp; " bis " &amp; TEXT(Parameter!B18,"#.##0,00 €")</f>
        <v>3.301,00 € bis 3.600,99 €</v>
      </c>
      <c r="C134" s="147"/>
      <c r="D134" s="147"/>
      <c r="E134" s="154" t="str">
        <f>IF(OR(Parameter!A18=MaßgeblEinkGruppe,MaßgeblEinkGruppe=0)=TRUE," Ihr Kostenbeitrag &gt;&gt;  ","") &amp; TEXT(IF(Beitragsstufe=1,Parameter!C18,IF(Beitragsstufe=2,Parameter!D18,IF(Beitragsstufe=3,Parameter!E18,IF(Beitragsstufe=4,Parameter!F18,0)))),"#.##0,00 €")</f>
        <v>0,00 €</v>
      </c>
      <c r="F134" s="154"/>
      <c r="G134" s="154"/>
      <c r="H134" s="102"/>
      <c r="I134" s="88"/>
      <c r="J134" s="87"/>
    </row>
    <row r="135" spans="1:10" s="26" customFormat="1" ht="21.9" customHeight="1" x14ac:dyDescent="0.3">
      <c r="A135" s="70" t="str">
        <f>"Gruppe " &amp; Parameter!A19 &amp; IF(Parameter!A19=VorlEinkommensgruppe," &lt;&lt; vorläufig ","") &amp; IF(Parameter!A19=MaßgeblEinkGruppe," &lt;&lt; endgültig","")</f>
        <v>Gruppe 10</v>
      </c>
      <c r="B135" s="147" t="str">
        <f>TEXT(Parameter!B18+0.01,"#.##0,00 €")&amp; " bis " &amp; TEXT(Parameter!B19,"#.##0,00 €")</f>
        <v>3.601,00 € bis 3.900,99 €</v>
      </c>
      <c r="C135" s="147"/>
      <c r="D135" s="147"/>
      <c r="E135" s="154" t="str">
        <f>IF(OR(Parameter!A19=MaßgeblEinkGruppe,MaßgeblEinkGruppe=0)=TRUE," Ihr Kostenbeitrag &gt;&gt;  ","") &amp; TEXT(IF(Beitragsstufe=1,Parameter!C19,IF(Beitragsstufe=2,Parameter!D19,IF(Beitragsstufe=3,Parameter!E19,IF(Beitragsstufe=4,Parameter!F19,0)))),"#.##0,00 €")</f>
        <v>0,00 €</v>
      </c>
      <c r="F135" s="154"/>
      <c r="G135" s="154"/>
      <c r="H135" s="102"/>
      <c r="I135" s="88"/>
      <c r="J135" s="87"/>
    </row>
    <row r="136" spans="1:10" s="26" customFormat="1" ht="21.9" customHeight="1" x14ac:dyDescent="0.3">
      <c r="A136" s="70" t="str">
        <f>"Gruppe " &amp; Parameter!A20 &amp; IF(Parameter!A20=VorlEinkommensgruppe," &lt;&lt; vorläufig ","") &amp; IF(Parameter!A20=MaßgeblEinkGruppe," &lt;&lt; endgültig","")</f>
        <v>Gruppe 11</v>
      </c>
      <c r="B136" s="147" t="str">
        <f>TEXT(Parameter!B19+0.01,"#.##0,00 €")&amp; " bis " &amp; TEXT(Parameter!B20,"#.##0,00 €")</f>
        <v>3.901,00 € bis 4.200,99 €</v>
      </c>
      <c r="C136" s="147"/>
      <c r="D136" s="147"/>
      <c r="E136" s="154" t="str">
        <f>IF(OR(Parameter!A20=MaßgeblEinkGruppe,MaßgeblEinkGruppe=0)=TRUE," Ihr Kostenbeitrag &gt;&gt;  ","") &amp; TEXT(IF(Beitragsstufe=1,Parameter!C20,IF(Beitragsstufe=2,Parameter!D20,IF(Beitragsstufe=3,Parameter!E20,IF(Beitragsstufe=4,Parameter!F20,0)))),"#.##0,00 €")</f>
        <v>0,00 €</v>
      </c>
      <c r="F136" s="154"/>
      <c r="G136" s="154"/>
      <c r="H136" s="102"/>
      <c r="I136" s="88"/>
      <c r="J136" s="87"/>
    </row>
    <row r="137" spans="1:10" s="26" customFormat="1" ht="21.9" customHeight="1" x14ac:dyDescent="0.3">
      <c r="A137" s="70" t="str">
        <f>"Gruppe " &amp; Parameter!A21 &amp; IF(Parameter!A21=VorlEinkommensgruppe," &lt;&lt; vorläufig ","") &amp; IF(Parameter!A21=MaßgeblEinkGruppe," &lt;&lt; endgültig","")</f>
        <v>Gruppe 12</v>
      </c>
      <c r="B137" s="147" t="str">
        <f>TEXT(Parameter!B20+0.01,"#.##0,00 €")&amp; " bis " &amp; TEXT(Parameter!B21,"#.##0,00 €")</f>
        <v>4.201,00 € bis 4.600,99 €</v>
      </c>
      <c r="C137" s="147"/>
      <c r="D137" s="147"/>
      <c r="E137" s="154" t="str">
        <f>IF(OR(Parameter!A21=MaßgeblEinkGruppe,MaßgeblEinkGruppe=0)=TRUE," Ihr Kostenbeitrag &gt;&gt;  ","") &amp; TEXT(IF(Beitragsstufe=1,Parameter!C21,IF(Beitragsstufe=2,Parameter!D21,IF(Beitragsstufe=3,Parameter!E21,IF(Beitragsstufe=4,Parameter!F21,0)))),"#.##0,00 €")</f>
        <v>0,00 €</v>
      </c>
      <c r="F137" s="154"/>
      <c r="G137" s="154"/>
      <c r="H137" s="102"/>
      <c r="I137" s="88"/>
      <c r="J137" s="87"/>
    </row>
    <row r="138" spans="1:10" s="26" customFormat="1" ht="21.9" customHeight="1" x14ac:dyDescent="0.3">
      <c r="A138" s="70" t="str">
        <f>"Gruppe " &amp; Parameter!A22 &amp; IF(Parameter!A22=VorlEinkommensgruppe," &lt;&lt; vorläufig ","") &amp; IF(Parameter!A22=MaßgeblEinkGruppe," &lt;&lt; endgültig","")</f>
        <v>Gruppe 13</v>
      </c>
      <c r="B138" s="147" t="str">
        <f>TEXT(Parameter!B21+0.01,"#.##0,00 €")&amp; " bis " &amp; TEXT(Parameter!B22,"#.##0,00 €")</f>
        <v>4.601,00 € bis 5.000,99 €</v>
      </c>
      <c r="C138" s="147"/>
      <c r="D138" s="147"/>
      <c r="E138" s="154" t="str">
        <f>IF(OR(Parameter!A22=MaßgeblEinkGruppe,MaßgeblEinkGruppe=0)=TRUE," Ihr Kostenbeitrag &gt;&gt;  ","") &amp; TEXT(IF(Beitragsstufe=1,Parameter!C22,IF(Beitragsstufe=2,Parameter!D22,IF(Beitragsstufe=3,Parameter!E22,IF(Beitragsstufe=4,Parameter!F22,0)))),"#.##0,00 €")</f>
        <v>0,00 €</v>
      </c>
      <c r="F138" s="154"/>
      <c r="G138" s="154"/>
      <c r="H138" s="102"/>
      <c r="I138" s="88"/>
      <c r="J138" s="87"/>
    </row>
    <row r="139" spans="1:10" s="26" customFormat="1" ht="21.9" customHeight="1" x14ac:dyDescent="0.3">
      <c r="A139" s="70" t="str">
        <f>"Gruppe " &amp; Parameter!A23 &amp; IF(Parameter!A23=VorlEinkommensgruppe," &lt;&lt; vorläufig ","") &amp; IF(Parameter!A23=MaßgeblEinkGruppe," &lt;&lt; endgültig","")</f>
        <v>Gruppe 14</v>
      </c>
      <c r="B139" s="147" t="str">
        <f>TEXT(Parameter!B22+0.01,"#.##0,00 €")&amp; " bis " &amp; TEXT(Parameter!B23,"#.##0,00 €")</f>
        <v>5.001,00 € bis 5.500,99 €</v>
      </c>
      <c r="C139" s="147"/>
      <c r="D139" s="147"/>
      <c r="E139" s="154" t="str">
        <f>IF(OR(Parameter!A23=MaßgeblEinkGruppe,MaßgeblEinkGruppe=0)=TRUE," Ihr Kostenbeitrag &gt;&gt;  ","") &amp; TEXT(IF(Beitragsstufe=1,Parameter!C23,IF(Beitragsstufe=2,Parameter!D23,IF(Beitragsstufe=3,Parameter!E23,IF(Beitragsstufe=4,Parameter!F23,0)))),"#.##0,00 €")</f>
        <v>0,00 €</v>
      </c>
      <c r="F139" s="154"/>
      <c r="G139" s="154"/>
      <c r="H139" s="102"/>
      <c r="I139" s="88"/>
      <c r="J139" s="87"/>
    </row>
    <row r="140" spans="1:10" s="26" customFormat="1" ht="21.9" customHeight="1" x14ac:dyDescent="0.3">
      <c r="A140" s="70" t="str">
        <f>"Gruppe " &amp; Parameter!A24 &amp; IF(Parameter!A24=VorlEinkommensgruppe," &lt;&lt; vorläufig ","") &amp; IF(Parameter!A24=MaßgeblEinkGruppe," &lt;&lt; endgültig","")</f>
        <v>Gruppe 15</v>
      </c>
      <c r="B140" s="147" t="str">
        <f>TEXT(Parameter!B23+0.01,"#.##0,00 €")&amp; " bis " &amp; TEXT(Parameter!B24,"#.##0,00 €")</f>
        <v>5.501,00 € bis 999.999,99 €</v>
      </c>
      <c r="C140" s="147"/>
      <c r="D140" s="147"/>
      <c r="E140" s="154" t="str">
        <f>IF(MaßgeblEinkGruppe&lt;15,"%-Anteil des Einkommens","Ihr Kostenbeitrag &gt;&gt;  "&amp;TEXT(ROUND(IF(Beitragsstufe=1,VLOOKUP(MaßgeblEinkGruppe,Parameter!$A$10:$F$24,3),IF(Beitragsstufe=2,VLOOKUP(MaßgeblEinkGruppe,Parameter!$A$10:$F$24,4),IF(Beitragsstufe=3,VLOOKUP(MaßgeblEinkGruppe,Parameter!$A$10:$F$24,5),IF(Beitragsstufe=4,VLOOKUP(MaßgeblEinkGruppe,Parameter!$A$10:$F$24,6),0)))),2),"#.##0,00 €"))</f>
        <v>%-Anteil des Einkommens</v>
      </c>
      <c r="F140" s="154"/>
      <c r="G140" s="154"/>
      <c r="H140" s="102"/>
      <c r="I140" s="88"/>
      <c r="J140" s="87"/>
    </row>
    <row r="141" spans="1:10" ht="20.100000000000001" customHeight="1" x14ac:dyDescent="0.3"/>
    <row r="142" spans="1:10" ht="20.100000000000001" customHeight="1" x14ac:dyDescent="0.3"/>
    <row r="143" spans="1:10" ht="20.100000000000001" customHeight="1" x14ac:dyDescent="0.3"/>
    <row r="144" spans="1:10" ht="20.100000000000001" customHeight="1" x14ac:dyDescent="0.3"/>
    <row r="145" ht="20.100000000000001" customHeight="1" x14ac:dyDescent="0.3"/>
    <row r="146" ht="20.100000000000001" customHeight="1" x14ac:dyDescent="0.3"/>
    <row r="147" ht="20.100000000000001" customHeight="1" x14ac:dyDescent="0.3"/>
    <row r="148" ht="20.100000000000001" customHeight="1" x14ac:dyDescent="0.3"/>
    <row r="149" ht="20.100000000000001" customHeight="1" x14ac:dyDescent="0.3"/>
    <row r="150" ht="20.100000000000001" customHeight="1" x14ac:dyDescent="0.3"/>
    <row r="151" ht="20.100000000000001" customHeight="1" x14ac:dyDescent="0.3"/>
    <row r="152" ht="20.100000000000001" customHeight="1" x14ac:dyDescent="0.3"/>
    <row r="153" ht="20.100000000000001" customHeight="1" x14ac:dyDescent="0.3"/>
    <row r="154" ht="20.100000000000001" customHeight="1" x14ac:dyDescent="0.3"/>
    <row r="155" ht="20.100000000000001" customHeight="1" x14ac:dyDescent="0.3"/>
    <row r="156" ht="20.100000000000001" customHeight="1" x14ac:dyDescent="0.3"/>
    <row r="157" ht="20.100000000000001" customHeight="1" x14ac:dyDescent="0.3"/>
    <row r="158" ht="20.100000000000001" customHeight="1" x14ac:dyDescent="0.3"/>
    <row r="159" ht="20.100000000000001" customHeight="1" x14ac:dyDescent="0.3"/>
    <row r="160" ht="20.100000000000001" customHeight="1" x14ac:dyDescent="0.3"/>
    <row r="161" ht="20.100000000000001" customHeight="1" x14ac:dyDescent="0.3"/>
    <row r="162" ht="20.100000000000001" customHeight="1" x14ac:dyDescent="0.3"/>
    <row r="163" ht="20.100000000000001" customHeight="1" x14ac:dyDescent="0.3"/>
    <row r="164" ht="20.100000000000001" customHeight="1" x14ac:dyDescent="0.3"/>
    <row r="165" ht="20.100000000000001" customHeight="1" x14ac:dyDescent="0.3"/>
    <row r="166" ht="20.100000000000001" customHeight="1" x14ac:dyDescent="0.3"/>
    <row r="167" ht="20.100000000000001" customHeight="1" x14ac:dyDescent="0.3"/>
    <row r="168" ht="20.100000000000001" customHeight="1" x14ac:dyDescent="0.3"/>
    <row r="169" ht="20.100000000000001" customHeight="1" x14ac:dyDescent="0.3"/>
    <row r="170" ht="20.100000000000001" customHeight="1" x14ac:dyDescent="0.3"/>
    <row r="171" ht="20.100000000000001" customHeight="1" x14ac:dyDescent="0.3"/>
    <row r="172" ht="20.100000000000001" customHeight="1" x14ac:dyDescent="0.3"/>
    <row r="173" ht="20.100000000000001" customHeight="1" x14ac:dyDescent="0.3"/>
    <row r="174" ht="20.100000000000001" customHeight="1" x14ac:dyDescent="0.3"/>
    <row r="175" ht="20.100000000000001" customHeight="1" x14ac:dyDescent="0.3"/>
    <row r="176" ht="20.100000000000001" customHeight="1" x14ac:dyDescent="0.3"/>
    <row r="177" ht="20.100000000000001" customHeight="1" x14ac:dyDescent="0.3"/>
    <row r="178" ht="20.100000000000001" customHeight="1" x14ac:dyDescent="0.3"/>
    <row r="179" ht="20.100000000000001" customHeight="1" x14ac:dyDescent="0.3"/>
    <row r="180" ht="20.100000000000001" customHeight="1" x14ac:dyDescent="0.3"/>
    <row r="181" ht="20.100000000000001" customHeight="1" x14ac:dyDescent="0.3"/>
    <row r="182" ht="20.100000000000001" customHeight="1" x14ac:dyDescent="0.3"/>
    <row r="183" ht="20.100000000000001" customHeight="1" x14ac:dyDescent="0.3"/>
    <row r="184" ht="20.100000000000001" customHeight="1" x14ac:dyDescent="0.3"/>
    <row r="185" ht="20.100000000000001" customHeight="1" x14ac:dyDescent="0.3"/>
    <row r="186" ht="20.100000000000001" customHeight="1" x14ac:dyDescent="0.3"/>
    <row r="187" ht="20.100000000000001" customHeight="1" x14ac:dyDescent="0.3"/>
    <row r="188" ht="20.100000000000001" customHeight="1" x14ac:dyDescent="0.3"/>
    <row r="189" ht="20.100000000000001" customHeight="1" x14ac:dyDescent="0.3"/>
    <row r="190" ht="20.100000000000001" customHeight="1" x14ac:dyDescent="0.3"/>
    <row r="191" ht="20.100000000000001" customHeight="1" x14ac:dyDescent="0.3"/>
    <row r="192" ht="20.100000000000001" customHeight="1" x14ac:dyDescent="0.3"/>
    <row r="193" ht="20.100000000000001" customHeight="1" x14ac:dyDescent="0.3"/>
    <row r="194" ht="20.100000000000001" customHeight="1" x14ac:dyDescent="0.3"/>
    <row r="195" ht="20.100000000000001" customHeight="1" x14ac:dyDescent="0.3"/>
    <row r="196" ht="20.100000000000001" customHeight="1" x14ac:dyDescent="0.3"/>
    <row r="197" ht="20.100000000000001" customHeight="1" x14ac:dyDescent="0.3"/>
    <row r="198" ht="20.100000000000001" customHeight="1" x14ac:dyDescent="0.3"/>
    <row r="199" ht="20.100000000000001" customHeight="1" x14ac:dyDescent="0.3"/>
    <row r="200" ht="20.100000000000001" customHeight="1" x14ac:dyDescent="0.3"/>
    <row r="201" ht="20.100000000000001" customHeight="1" x14ac:dyDescent="0.3"/>
    <row r="202" ht="20.100000000000001" customHeight="1" x14ac:dyDescent="0.3"/>
    <row r="203" ht="20.100000000000001" customHeight="1" x14ac:dyDescent="0.3"/>
    <row r="204" ht="20.100000000000001" customHeight="1" x14ac:dyDescent="0.3"/>
    <row r="205" ht="20.100000000000001" customHeight="1" x14ac:dyDescent="0.3"/>
    <row r="206" ht="20.100000000000001" customHeight="1" x14ac:dyDescent="0.3"/>
    <row r="207" ht="20.100000000000001" customHeight="1" x14ac:dyDescent="0.3"/>
    <row r="208" ht="20.100000000000001" customHeight="1" x14ac:dyDescent="0.3"/>
    <row r="209" ht="20.100000000000001" customHeight="1" x14ac:dyDescent="0.3"/>
    <row r="210" ht="20.100000000000001" customHeight="1" x14ac:dyDescent="0.3"/>
    <row r="211" ht="20.100000000000001" customHeight="1" x14ac:dyDescent="0.3"/>
    <row r="212" ht="20.100000000000001" customHeight="1" x14ac:dyDescent="0.3"/>
    <row r="213" ht="20.100000000000001" customHeight="1" x14ac:dyDescent="0.3"/>
    <row r="214" ht="20.100000000000001" customHeight="1" x14ac:dyDescent="0.3"/>
    <row r="215" ht="20.100000000000001" customHeight="1" x14ac:dyDescent="0.3"/>
    <row r="216" ht="20.100000000000001" customHeight="1" x14ac:dyDescent="0.3"/>
    <row r="217" ht="20.100000000000001" customHeight="1" x14ac:dyDescent="0.3"/>
    <row r="218" ht="20.100000000000001" customHeight="1" x14ac:dyDescent="0.3"/>
    <row r="219" ht="20.100000000000001" customHeight="1" x14ac:dyDescent="0.3"/>
    <row r="220" ht="20.100000000000001" customHeight="1" x14ac:dyDescent="0.3"/>
    <row r="221" ht="20.100000000000001" customHeight="1" x14ac:dyDescent="0.3"/>
    <row r="222" ht="20.100000000000001" customHeight="1" x14ac:dyDescent="0.3"/>
    <row r="223" ht="20.100000000000001" customHeight="1" x14ac:dyDescent="0.3"/>
    <row r="224" ht="20.100000000000001" customHeight="1" x14ac:dyDescent="0.3"/>
    <row r="225" ht="20.100000000000001" customHeight="1" x14ac:dyDescent="0.3"/>
    <row r="226" ht="20.100000000000001" customHeight="1" x14ac:dyDescent="0.3"/>
    <row r="227" ht="20.100000000000001" customHeight="1" x14ac:dyDescent="0.3"/>
    <row r="228" ht="20.100000000000001" customHeight="1" x14ac:dyDescent="0.3"/>
    <row r="229" ht="20.100000000000001" customHeight="1" x14ac:dyDescent="0.3"/>
    <row r="230" ht="20.100000000000001" customHeight="1" x14ac:dyDescent="0.3"/>
    <row r="231" ht="20.100000000000001" customHeight="1" x14ac:dyDescent="0.3"/>
    <row r="232" ht="20.100000000000001" customHeight="1" x14ac:dyDescent="0.3"/>
    <row r="233" ht="20.100000000000001" customHeight="1" x14ac:dyDescent="0.3"/>
    <row r="234" ht="20.100000000000001" customHeight="1" x14ac:dyDescent="0.3"/>
    <row r="235" ht="20.100000000000001" customHeight="1" x14ac:dyDescent="0.3"/>
    <row r="236" ht="20.100000000000001" customHeight="1" x14ac:dyDescent="0.3"/>
    <row r="237" ht="20.100000000000001" customHeight="1" x14ac:dyDescent="0.3"/>
    <row r="238" ht="20.100000000000001" customHeight="1" x14ac:dyDescent="0.3"/>
    <row r="239" ht="20.100000000000001" customHeight="1" x14ac:dyDescent="0.3"/>
    <row r="240" ht="20.100000000000001" customHeight="1" x14ac:dyDescent="0.3"/>
    <row r="241" ht="20.100000000000001" customHeight="1" x14ac:dyDescent="0.3"/>
    <row r="242" ht="20.100000000000001" customHeight="1" x14ac:dyDescent="0.3"/>
    <row r="243" ht="20.100000000000001" customHeight="1" x14ac:dyDescent="0.3"/>
    <row r="244" ht="20.100000000000001" customHeight="1" x14ac:dyDescent="0.3"/>
    <row r="245" ht="20.100000000000001" customHeight="1" x14ac:dyDescent="0.3"/>
    <row r="246" ht="20.100000000000001" customHeight="1" x14ac:dyDescent="0.3"/>
    <row r="247" ht="20.100000000000001" customHeight="1" x14ac:dyDescent="0.3"/>
    <row r="248" ht="20.100000000000001" customHeight="1" x14ac:dyDescent="0.3"/>
    <row r="249" ht="20.100000000000001" customHeight="1" x14ac:dyDescent="0.3"/>
    <row r="250" ht="20.100000000000001" customHeight="1" x14ac:dyDescent="0.3"/>
    <row r="251" ht="20.100000000000001" customHeight="1" x14ac:dyDescent="0.3"/>
    <row r="252" ht="20.100000000000001" customHeight="1" x14ac:dyDescent="0.3"/>
    <row r="253" ht="20.100000000000001" customHeight="1" x14ac:dyDescent="0.3"/>
    <row r="254" ht="20.100000000000001" customHeight="1" x14ac:dyDescent="0.3"/>
    <row r="255" ht="20.100000000000001" customHeight="1" x14ac:dyDescent="0.3"/>
    <row r="256" ht="20.100000000000001" customHeight="1" x14ac:dyDescent="0.3"/>
    <row r="257" ht="20.100000000000001" customHeight="1" x14ac:dyDescent="0.3"/>
    <row r="258" ht="20.100000000000001" customHeight="1" x14ac:dyDescent="0.3"/>
    <row r="259" ht="20.100000000000001" customHeight="1" x14ac:dyDescent="0.3"/>
    <row r="260" ht="20.100000000000001" customHeight="1" x14ac:dyDescent="0.3"/>
    <row r="261" ht="20.100000000000001" customHeight="1" x14ac:dyDescent="0.3"/>
    <row r="262" ht="20.100000000000001" customHeight="1" x14ac:dyDescent="0.3"/>
    <row r="263" ht="20.100000000000001" customHeight="1" x14ac:dyDescent="0.3"/>
    <row r="264" ht="20.100000000000001" customHeight="1" x14ac:dyDescent="0.3"/>
    <row r="265" ht="20.100000000000001" customHeight="1" x14ac:dyDescent="0.3"/>
    <row r="266" ht="20.100000000000001" customHeight="1" x14ac:dyDescent="0.3"/>
    <row r="267" ht="20.100000000000001" customHeight="1" x14ac:dyDescent="0.3"/>
    <row r="268" ht="20.100000000000001" customHeight="1" x14ac:dyDescent="0.3"/>
    <row r="269" ht="20.100000000000001" customHeight="1" x14ac:dyDescent="0.3"/>
    <row r="270" ht="20.100000000000001" customHeight="1" x14ac:dyDescent="0.3"/>
    <row r="271" ht="20.100000000000001" customHeight="1" x14ac:dyDescent="0.3"/>
    <row r="272" ht="20.100000000000001" customHeight="1" x14ac:dyDescent="0.3"/>
    <row r="273" ht="20.100000000000001" customHeight="1" x14ac:dyDescent="0.3"/>
    <row r="274" ht="20.100000000000001" customHeight="1" x14ac:dyDescent="0.3"/>
    <row r="275" ht="20.100000000000001" customHeight="1" x14ac:dyDescent="0.3"/>
    <row r="276" ht="20.100000000000001" customHeight="1" x14ac:dyDescent="0.3"/>
    <row r="277" ht="20.100000000000001" customHeight="1" x14ac:dyDescent="0.3"/>
    <row r="278" ht="20.100000000000001" customHeight="1" x14ac:dyDescent="0.3"/>
    <row r="279" ht="20.100000000000001" customHeight="1" x14ac:dyDescent="0.3"/>
    <row r="280" ht="20.100000000000001" customHeight="1" x14ac:dyDescent="0.3"/>
    <row r="281" ht="20.100000000000001" customHeight="1" x14ac:dyDescent="0.3"/>
    <row r="282" ht="20.100000000000001" customHeight="1" x14ac:dyDescent="0.3"/>
    <row r="283" ht="20.100000000000001" customHeight="1" x14ac:dyDescent="0.3"/>
    <row r="284" ht="20.100000000000001" customHeight="1" x14ac:dyDescent="0.3"/>
    <row r="285" ht="20.100000000000001" customHeight="1" x14ac:dyDescent="0.3"/>
    <row r="286" ht="20.100000000000001" customHeight="1" x14ac:dyDescent="0.3"/>
    <row r="287" ht="20.100000000000001" customHeight="1" x14ac:dyDescent="0.3"/>
    <row r="288" ht="20.100000000000001" customHeight="1" x14ac:dyDescent="0.3"/>
    <row r="289" ht="20.100000000000001" customHeight="1" x14ac:dyDescent="0.3"/>
    <row r="290" ht="20.100000000000001" customHeight="1" x14ac:dyDescent="0.3"/>
    <row r="291" ht="20.100000000000001" customHeight="1" x14ac:dyDescent="0.3"/>
    <row r="292" ht="20.100000000000001" customHeight="1" x14ac:dyDescent="0.3"/>
    <row r="293" ht="20.100000000000001" customHeight="1" x14ac:dyDescent="0.3"/>
    <row r="294" ht="20.100000000000001" customHeight="1" x14ac:dyDescent="0.3"/>
    <row r="295" ht="20.100000000000001" customHeight="1" x14ac:dyDescent="0.3"/>
    <row r="296" ht="20.100000000000001" customHeight="1" x14ac:dyDescent="0.3"/>
  </sheetData>
  <mergeCells count="68">
    <mergeCell ref="B1:C1"/>
    <mergeCell ref="G87:G88"/>
    <mergeCell ref="G105:G106"/>
    <mergeCell ref="B95:D95"/>
    <mergeCell ref="E7:G7"/>
    <mergeCell ref="E8:G8"/>
    <mergeCell ref="C16:C17"/>
    <mergeCell ref="C53:F54"/>
    <mergeCell ref="C55:E55"/>
    <mergeCell ref="C57:E57"/>
    <mergeCell ref="C59:E59"/>
    <mergeCell ref="C46:F47"/>
    <mergeCell ref="G46:G47"/>
    <mergeCell ref="A48:E48"/>
    <mergeCell ref="J7:J8"/>
    <mergeCell ref="J3:J6"/>
    <mergeCell ref="A2:G2"/>
    <mergeCell ref="I5:I6"/>
    <mergeCell ref="J53:J61"/>
    <mergeCell ref="E127:G127"/>
    <mergeCell ref="E128:G128"/>
    <mergeCell ref="E126:G126"/>
    <mergeCell ref="E125:G125"/>
    <mergeCell ref="J10:J12"/>
    <mergeCell ref="J71:J74"/>
    <mergeCell ref="J75:J79"/>
    <mergeCell ref="J101:J104"/>
    <mergeCell ref="J97:J99"/>
    <mergeCell ref="E95:G95"/>
    <mergeCell ref="J117:J120"/>
    <mergeCell ref="J67:J69"/>
    <mergeCell ref="J85:J89"/>
    <mergeCell ref="C61:E61"/>
    <mergeCell ref="J81:J83"/>
    <mergeCell ref="G53:G54"/>
    <mergeCell ref="E133:G133"/>
    <mergeCell ref="E134:G134"/>
    <mergeCell ref="E131:G131"/>
    <mergeCell ref="E132:G132"/>
    <mergeCell ref="E129:G129"/>
    <mergeCell ref="E130:G130"/>
    <mergeCell ref="E139:G139"/>
    <mergeCell ref="E140:G140"/>
    <mergeCell ref="B139:D139"/>
    <mergeCell ref="B140:D140"/>
    <mergeCell ref="B134:D134"/>
    <mergeCell ref="B135:D135"/>
    <mergeCell ref="E137:G137"/>
    <mergeCell ref="E138:G138"/>
    <mergeCell ref="B138:D138"/>
    <mergeCell ref="E135:G135"/>
    <mergeCell ref="E136:G136"/>
    <mergeCell ref="B136:D136"/>
    <mergeCell ref="B137:D137"/>
    <mergeCell ref="A111:C111"/>
    <mergeCell ref="J107:J108"/>
    <mergeCell ref="J110:J112"/>
    <mergeCell ref="I113:I114"/>
    <mergeCell ref="A117:G120"/>
    <mergeCell ref="B130:D130"/>
    <mergeCell ref="B131:D131"/>
    <mergeCell ref="B132:D132"/>
    <mergeCell ref="B133:D133"/>
    <mergeCell ref="B125:D125"/>
    <mergeCell ref="B126:D126"/>
    <mergeCell ref="B127:D127"/>
    <mergeCell ref="B128:D128"/>
    <mergeCell ref="B129:D129"/>
  </mergeCells>
  <conditionalFormatting sqref="A11">
    <cfRule type="expression" dxfId="35" priority="29">
      <formula>$I$11&lt;&gt;""</formula>
    </cfRule>
  </conditionalFormatting>
  <conditionalFormatting sqref="A104">
    <cfRule type="cellIs" dxfId="34" priority="5" operator="equal">
      <formula>"Falsche Vorlage, junger Mensch ist volljährig!"</formula>
    </cfRule>
  </conditionalFormatting>
  <conditionalFormatting sqref="A111:C111">
    <cfRule type="expression" dxfId="33" priority="8">
      <formula>$I$111&lt;&gt;""</formula>
    </cfRule>
  </conditionalFormatting>
  <conditionalFormatting sqref="B95:D95">
    <cfRule type="expression" dxfId="32" priority="27">
      <formula>$I$95&lt;&gt;""</formula>
    </cfRule>
  </conditionalFormatting>
  <conditionalFormatting sqref="C8">
    <cfRule type="expression" dxfId="31" priority="23">
      <formula>$I$8&lt;&gt;""</formula>
    </cfRule>
  </conditionalFormatting>
  <conditionalFormatting sqref="C11">
    <cfRule type="expression" dxfId="30" priority="2">
      <formula>$I$8&lt;&gt;""</formula>
    </cfRule>
  </conditionalFormatting>
  <conditionalFormatting sqref="E5">
    <cfRule type="expression" dxfId="29" priority="33">
      <formula>$I$5&lt;&gt;""</formula>
    </cfRule>
  </conditionalFormatting>
  <conditionalFormatting sqref="E11">
    <cfRule type="expression" dxfId="28" priority="1">
      <formula>$I$8&lt;&gt;""</formula>
    </cfRule>
  </conditionalFormatting>
  <conditionalFormatting sqref="E16">
    <cfRule type="expression" dxfId="27" priority="32">
      <formula>$I$16&lt;&gt;""</formula>
    </cfRule>
  </conditionalFormatting>
  <conditionalFormatting sqref="E42">
    <cfRule type="expression" dxfId="25" priority="28">
      <formula>$I$42&lt;&gt;""</formula>
    </cfRule>
  </conditionalFormatting>
  <conditionalFormatting sqref="E85">
    <cfRule type="expression" dxfId="23" priority="24">
      <formula>$I$85&lt;&gt;""</formula>
    </cfRule>
  </conditionalFormatting>
  <conditionalFormatting sqref="G5">
    <cfRule type="expression" dxfId="22" priority="4">
      <formula>$I$5&lt;&gt;""</formula>
    </cfRule>
  </conditionalFormatting>
  <conditionalFormatting sqref="G11">
    <cfRule type="expression" dxfId="21" priority="221">
      <formula>$I$11&lt;&gt;""</formula>
    </cfRule>
  </conditionalFormatting>
  <conditionalFormatting sqref="G99">
    <cfRule type="expression" dxfId="11" priority="26">
      <formula>$I$99&lt;&gt;""</formula>
    </cfRule>
  </conditionalFormatting>
  <conditionalFormatting sqref="G113">
    <cfRule type="expression" dxfId="8" priority="6">
      <formula>$I$113&lt;&gt;""</formula>
    </cfRule>
  </conditionalFormatting>
  <dataValidations count="13">
    <dataValidation allowBlank="1" showInputMessage="1" showErrorMessage="1" promptTitle="Hinweis" prompt="Wenn Sie hier manuelle Daten eingeben, wird die hinterlegte Formel entfernt und kein automatischer Wert mehr eingetragen!" sqref="E11 C11 G11" xr:uid="{00000000-0002-0000-0000-000000000000}"/>
    <dataValidation allowBlank="1" showInputMessage="1" showErrorMessage="1" promptTitle="Hinweis" prompt="Erläutern Sie hier ggf. den eingetragenen Wert oder verweisen Sie auf eine Erläuterung im Bescheid." sqref="C69 C40 C38 C36 C34 C32 C30 C28 C26 C24 C22 C79 C18 C20 C81 C83 C55 C57 C59 C61" xr:uid="{00000000-0002-0000-0000-000001000000}"/>
    <dataValidation type="date" operator="greaterThanOrEqual" allowBlank="1" showInputMessage="1" showErrorMessage="1" errorTitle="Falsche Eingabe" error="Diese Berechnungsvorlage kann nur für Kostenbeiträge ab dem o.a. &quot;Gültig ab&quot;-Datum verwendet werden." promptTitle="Hinweis" prompt="Tragen Sie das Datum ein, ab dem der hier berechnete Kostenbeitrag zu leisten ist (frühestens o.a. &quot;Gültig ab&quot;-Datum)." sqref="E5" xr:uid="{00000000-0002-0000-0000-000002000000}">
      <formula1>G1</formula1>
    </dataValidation>
    <dataValidation type="decimal" operator="greaterThanOrEqual" allowBlank="1" showInputMessage="1" showErrorMessage="1" errorTitle="Falsche Eingabe" error="Es sind keine negativen Beträge zulässig!" sqref="E18 E20 E22 E24 E26 E28 E30 E32 E34 E36 E38 E40" xr:uid="{00000000-0002-0000-0000-000003000000}">
      <formula1>0</formula1>
    </dataValidation>
    <dataValidation type="decimal" operator="greaterThanOrEqual" allowBlank="1" showInputMessage="1" showErrorMessage="1" errorTitle="Falsche Eingabe" error="Es sind keine negativen Beträge zulässig!" promptTitle="Hinweis" prompt="Tragen Sie hier den monatl. Betrag für diese Belastung ein." sqref="E69 E79 E81 E83 G55 G57 G59 G61" xr:uid="{00000000-0002-0000-0000-000004000000}">
      <formula1>0</formula1>
    </dataValidation>
    <dataValidation type="decimal" operator="greaterThanOrEqual" allowBlank="1" showInputMessage="1" showErrorMessage="1" errorTitle="Falsche Eingabe" error="Es sind keine negativen Beträge zulässig!" promptTitle="Hinweis" prompt="Tragen Sie hier die EINFACHE Fahrtstrecke zur Arbeitsstelle ein." sqref="B71" xr:uid="{00000000-0002-0000-0000-000005000000}">
      <formula1>0</formula1>
    </dataValidation>
    <dataValidation type="whole" allowBlank="1" showInputMessage="1" showErrorMessage="1" errorTitle="Falsche Eingabe" error="Es sind nur ganze Zahlen zwischen 1 und 365 zulässig!" promptTitle="Hinweis" prompt="Standard-Arbeitstage pro Jahr laut Arbeitsblatt &quot;Parameter&quot;._x000a_ACHTUNG: Wenn Sie die Formel überschreiben, wird der Standardwert nicht mehr automatisch eingesetzt." sqref="B73" xr:uid="{00000000-0002-0000-0000-000006000000}">
      <formula1>1</formula1>
      <formula2>365</formula2>
    </dataValidation>
    <dataValidation allowBlank="1" showInputMessage="1" showErrorMessage="1" promptTitle="Hinweis" prompt="Tragen Sie hier die Anzahl weiterer gleichrangig Unterhaltsberechtigter ein, die NICHT in stationärer Jugendhilfe untergebracht sind. Alternativ die Zahl 0." sqref="G99" xr:uid="{00000000-0002-0000-0000-000007000000}"/>
    <dataValidation allowBlank="1" showInputMessage="1" showErrorMessage="1" promptTitle="Hinweis" prompt="Geben Sie hier ggf. erläuternden Freitext ein." sqref="A117:G120" xr:uid="{00000000-0002-0000-0000-000008000000}"/>
    <dataValidation allowBlank="1" showInputMessage="1" showErrorMessage="1" promptTitle="Hinweis" prompt="Achten Sie darauf, dass diese Vorlage nur den Kostenbeitrag für MINDERJÄHRIGE junge Menschen gültig ist." sqref="G5" xr:uid="{8265EE9C-EE61-4284-9FB6-53D994EC06EF}"/>
    <dataValidation type="decimal" operator="greaterThanOrEqual" allowBlank="1" showInputMessage="1" showErrorMessage="1" errorTitle="Falsche Eingabe" error="Es sind keine negativen Beträge zulässig!" promptTitle="Hinweis" prompt="Tragen Sie hier den monatl. Betrag für diese Einkunftsart ein." sqref="G48" xr:uid="{F124FED0-7F3D-4D30-AAED-073516538A02}">
      <formula1>0</formula1>
    </dataValidation>
    <dataValidation allowBlank="1" showInputMessage="1" showErrorMessage="1" promptTitle="Hinweis" prompt="Tragen Sie eine Bezeichnung für die sonstigen Einkünfte ein." sqref="A48:E48" xr:uid="{2C69FF5E-4648-4B03-B23B-47C2C8A0A893}"/>
    <dataValidation allowBlank="1" showInputMessage="1" showErrorMessage="1" promptTitle="Hinweis" prompt="Achten Sie darauf, dass diese Vorlage nur den Kostenbeitrag für VOLLJÄHRIGE junge Menschen gültig ist." sqref="C8" xr:uid="{98E1DE98-B2B6-476F-88B3-B47C4332DE6E}"/>
  </dataValidations>
  <hyperlinks>
    <hyperlink ref="B1" r:id="rId1" xr:uid="{00000000-0004-0000-0000-000000000000}"/>
  </hyperlinks>
  <pageMargins left="0.98425196850393704" right="0.39370078740157483" top="0.59055118110236227" bottom="0.39370078740157483" header="0.31496062992125984" footer="0.31496062992125984"/>
  <pageSetup paperSize="9" scale="58" fitToHeight="2" orientation="portrait" blackAndWhite="1" r:id="rId2"/>
  <headerFooter>
    <oddFooter>&amp;C&amp;"Arial,Standard"&amp;10&amp;F vom &amp;D
Seite &amp;P/&amp;N</oddFooter>
  </headerFooter>
  <rowBreaks count="1" manualBreakCount="1">
    <brk id="91" max="16383" man="1"/>
  </rowBreaks>
  <extLst>
    <ext xmlns:x14="http://schemas.microsoft.com/office/spreadsheetml/2009/9/main" uri="{78C0D931-6437-407d-A8EE-F0AAD7539E65}">
      <x14:conditionalFormattings>
        <x14:conditionalFormatting xmlns:xm="http://schemas.microsoft.com/office/excel/2006/main">
          <x14:cfRule type="cellIs" priority="223" operator="equal" id="{F844AE3C-220D-49E1-89EA-DA98BA9EF09D}">
            <xm:f>Auswahlwerte!$B$7</xm:f>
            <x14:dxf>
              <font>
                <color rgb="FFC00000"/>
              </font>
            </x14:dxf>
          </x14:cfRule>
          <xm:sqref>E18 G18 E20 G20 E22 G22 E24 G24 E26 G26 E28 G28 E30 G30 E32 G32 E34 G34 E36 G36 E38 G38 E40 G40 E42 E44 G44 G67 E69 G69 D71:E71 G71 D73:E73 G73 E75 G75 E79 G79 E81 G81 E83 G83 E85 E87 E89 G89 E91 G91</xm:sqref>
        </x14:conditionalFormatting>
        <x14:conditionalFormatting xmlns:xm="http://schemas.microsoft.com/office/excel/2006/main">
          <x14:cfRule type="cellIs" priority="3" operator="equal" id="{EDC9B277-52A9-4E1A-A075-01D5432FD670}">
            <xm:f>Auswahlwerte!$B$7</xm:f>
            <x14:dxf>
              <font>
                <color rgb="FFC00000"/>
              </font>
            </x14:dxf>
          </x14:cfRule>
          <xm:sqref>E77 G77</xm:sqref>
        </x14:conditionalFormatting>
        <x14:conditionalFormatting xmlns:xm="http://schemas.microsoft.com/office/excel/2006/main">
          <x14:cfRule type="cellIs" priority="222" operator="equal" id="{77A6677C-7F86-4AFC-A68E-6E192CA33EB5}">
            <xm:f>Auswahlwerte!$B$7</xm:f>
            <x14:dxf>
              <font>
                <color rgb="FFC00000"/>
              </font>
            </x14:dxf>
          </x14:cfRule>
          <xm:sqref>G11</xm:sqref>
        </x14:conditionalFormatting>
        <x14:conditionalFormatting xmlns:xm="http://schemas.microsoft.com/office/excel/2006/main">
          <x14:cfRule type="cellIs" priority="14" operator="equal" id="{6564229E-6D58-43EC-8C57-03281DBA4CD8}">
            <xm:f>Auswahlwerte!$B$7</xm:f>
            <x14:dxf>
              <font>
                <color rgb="FFC00000"/>
              </font>
            </x14:dxf>
          </x14:cfRule>
          <xm:sqref>G48</xm:sqref>
        </x14:conditionalFormatting>
        <x14:conditionalFormatting xmlns:xm="http://schemas.microsoft.com/office/excel/2006/main">
          <x14:cfRule type="cellIs" priority="13" operator="equal" id="{FE94236A-0834-4DE5-970D-71A9CA4BD546}">
            <xm:f>Auswahlwerte!$B$7</xm:f>
            <x14:dxf>
              <font>
                <color rgb="FFC00000"/>
              </font>
            </x14:dxf>
          </x14:cfRule>
          <xm:sqref>G50</xm:sqref>
        </x14:conditionalFormatting>
        <x14:conditionalFormatting xmlns:xm="http://schemas.microsoft.com/office/excel/2006/main">
          <x14:cfRule type="cellIs" priority="21" operator="equal" id="{038FE9E9-8ED6-4B72-961E-FF63D07EB21A}">
            <xm:f>Auswahlwerte!$B$7</xm:f>
            <x14:dxf>
              <font>
                <color rgb="FFC00000"/>
              </font>
            </x14:dxf>
          </x14:cfRule>
          <xm:sqref>G52</xm:sqref>
        </x14:conditionalFormatting>
        <x14:conditionalFormatting xmlns:xm="http://schemas.microsoft.com/office/excel/2006/main">
          <x14:cfRule type="cellIs" priority="22" operator="equal" id="{E012759A-5AB5-4407-AC0B-0819BE6FCE47}">
            <xm:f>Auswahlwerte!$B$7</xm:f>
            <x14:dxf>
              <font>
                <color rgb="FFC00000"/>
              </font>
            </x14:dxf>
          </x14:cfRule>
          <xm:sqref>G55</xm:sqref>
        </x14:conditionalFormatting>
        <x14:conditionalFormatting xmlns:xm="http://schemas.microsoft.com/office/excel/2006/main">
          <x14:cfRule type="cellIs" priority="20" operator="equal" id="{1D95AD79-E88E-429A-9DCA-A21337DB77C9}">
            <xm:f>Auswahlwerte!$B$7</xm:f>
            <x14:dxf>
              <font>
                <color rgb="FFC00000"/>
              </font>
            </x14:dxf>
          </x14:cfRule>
          <xm:sqref>G57</xm:sqref>
        </x14:conditionalFormatting>
        <x14:conditionalFormatting xmlns:xm="http://schemas.microsoft.com/office/excel/2006/main">
          <x14:cfRule type="cellIs" priority="19" operator="equal" id="{92371502-51BF-42B2-9CDC-A00A24903022}">
            <xm:f>Auswahlwerte!$B$7</xm:f>
            <x14:dxf>
              <font>
                <color rgb="FFC00000"/>
              </font>
            </x14:dxf>
          </x14:cfRule>
          <xm:sqref>G59</xm:sqref>
        </x14:conditionalFormatting>
        <x14:conditionalFormatting xmlns:xm="http://schemas.microsoft.com/office/excel/2006/main">
          <x14:cfRule type="cellIs" priority="18" operator="equal" id="{DA681F58-470C-45DD-9E89-7F88DBC93AC7}">
            <xm:f>Auswahlwerte!$B$7</xm:f>
            <x14:dxf>
              <font>
                <color rgb="FFC00000"/>
              </font>
            </x14:dxf>
          </x14:cfRule>
          <xm:sqref>G61</xm:sqref>
        </x14:conditionalFormatting>
        <x14:conditionalFormatting xmlns:xm="http://schemas.microsoft.com/office/excel/2006/main">
          <x14:cfRule type="cellIs" priority="15" operator="equal" id="{CD3E4C46-691F-40DA-A183-3754E694ACA3}">
            <xm:f>Auswahlwerte!$B$7</xm:f>
            <x14:dxf>
              <font>
                <color rgb="FFC00000"/>
              </font>
            </x14:dxf>
          </x14:cfRule>
          <xm:sqref>G63</xm:sqref>
        </x14:conditionalFormatting>
        <x14:conditionalFormatting xmlns:xm="http://schemas.microsoft.com/office/excel/2006/main">
          <x14:cfRule type="cellIs" priority="11" operator="equal" id="{D0A49B6C-C889-48FE-87C2-6C509EBCF76D}">
            <xm:f>Auswahlwerte!$B$7</xm:f>
            <x14:dxf>
              <font>
                <color rgb="FFC00000"/>
              </font>
            </x14:dxf>
          </x14:cfRule>
          <xm:sqref>G107</xm:sqref>
        </x14:conditionalFormatting>
        <x14:conditionalFormatting xmlns:xm="http://schemas.microsoft.com/office/excel/2006/main">
          <x14:cfRule type="cellIs" priority="9" operator="equal" id="{9F2CADB4-F6E1-4FB1-B5BE-79CE39219DD8}">
            <xm:f>Auswahlwerte!$B$7</xm:f>
            <x14:dxf>
              <font>
                <color rgb="FFC00000"/>
              </font>
            </x14:dxf>
          </x14:cfRule>
          <xm:sqref>G111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Hinweis" prompt="Wählen Sie aus, ob die Einkünfte und Abzüge als Jahreswerte oder als monatliche Nettobeträge eingegeben werden." xr:uid="{00000000-0002-0000-0000-000009000000}">
          <x14:formula1>
            <xm:f>Auswahlwerte!$D$4:$D$6</xm:f>
          </x14:formula1>
          <xm:sqref>E16</xm:sqref>
        </x14:dataValidation>
        <x14:dataValidation type="list" allowBlank="1" showInputMessage="1" showErrorMessage="1" promptTitle="Hinweis" prompt="Treffen Sie eine Auswahl, welchen Einkommenszeitraum Sie zugrunde legen." xr:uid="{00000000-0002-0000-0000-00000A000000}">
          <x14:formula1>
            <xm:f>Auswahlwerte!$A$4:$A$7</xm:f>
          </x14:formula1>
          <xm:sqref>A11</xm:sqref>
        </x14:dataValidation>
        <x14:dataValidation type="list" allowBlank="1" showInputMessage="1" showErrorMessage="1" promptTitle="Hinweis" prompt="Treffen Sie hier die Auswahl, um welche Person es sich bei diesem jungen Menschen aus Sicht des Pflichtigen handelt." xr:uid="{00000000-0002-0000-0000-00000B000000}">
          <x14:formula1>
            <xm:f>Auswahlwerte!$A$26:$A$30</xm:f>
          </x14:formula1>
          <xm:sqref>B95:D95</xm:sqref>
        </x14:dataValidation>
        <x14:dataValidation type="list" allowBlank="1" showInputMessage="1" showErrorMessage="1" promptTitle="Hinweis" prompt="Treffen Sie hier eine Auswahl, um über eine etwaige Reduzierung des Kostenbeitrags wegen Wochengruppenunterbringung zu entscheiden." xr:uid="{EF0ECFEA-FA4C-40F2-8AFC-DCEA24146721}">
          <x14:formula1>
            <xm:f>Auswahlwerte!$A$34:$A$38</xm:f>
          </x14:formula1>
          <xm:sqref>A111:C111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opLeftCell="A22" workbookViewId="0">
      <selection activeCell="C31" sqref="C31"/>
    </sheetView>
  </sheetViews>
  <sheetFormatPr baseColWidth="10" defaultColWidth="11.44140625" defaultRowHeight="21.9" customHeight="1" x14ac:dyDescent="0.3"/>
  <cols>
    <col min="1" max="1" width="96.6640625" style="26" bestFit="1" customWidth="1"/>
    <col min="2" max="3" width="17.88671875" style="45" customWidth="1"/>
    <col min="4" max="4" width="55.5546875" style="26" bestFit="1" customWidth="1"/>
    <col min="5" max="5" width="40.33203125" style="26" bestFit="1" customWidth="1"/>
    <col min="6" max="6" width="15" style="26" customWidth="1"/>
    <col min="7" max="16384" width="11.44140625" style="26"/>
  </cols>
  <sheetData>
    <row r="1" spans="1:5" ht="21.9" customHeight="1" thickBot="1" x14ac:dyDescent="0.35">
      <c r="A1" s="25" t="s">
        <v>5</v>
      </c>
      <c r="B1" s="25"/>
      <c r="C1" s="25"/>
      <c r="D1" s="25"/>
      <c r="E1" s="25"/>
    </row>
    <row r="2" spans="1:5" s="30" customFormat="1" ht="21.9" customHeight="1" x14ac:dyDescent="0.3">
      <c r="A2" s="27" t="s">
        <v>4</v>
      </c>
      <c r="B2" s="28" t="s">
        <v>7</v>
      </c>
      <c r="C2" s="29"/>
      <c r="D2" s="27" t="s">
        <v>39</v>
      </c>
      <c r="E2" s="28" t="s">
        <v>7</v>
      </c>
    </row>
    <row r="3" spans="1:5" s="30" customFormat="1" ht="21.9" customHeight="1" x14ac:dyDescent="0.3">
      <c r="A3" s="31" t="s">
        <v>25</v>
      </c>
      <c r="B3" s="32">
        <f>VLOOKUP(Einkommenszeitraum,A4:B7,2,0)</f>
        <v>0</v>
      </c>
      <c r="C3" s="33"/>
      <c r="D3" s="31" t="s">
        <v>25</v>
      </c>
      <c r="E3" s="32">
        <f>VLOOKUP(BetragsartEinkommenNST,D4:E6,2,0)</f>
        <v>0</v>
      </c>
    </row>
    <row r="4" spans="1:5" s="36" customFormat="1" ht="21.9" customHeight="1" x14ac:dyDescent="0.3">
      <c r="A4" s="31" t="s">
        <v>52</v>
      </c>
      <c r="B4" s="39">
        <v>0</v>
      </c>
      <c r="C4" s="34"/>
      <c r="D4" s="31" t="s">
        <v>52</v>
      </c>
      <c r="E4" s="35">
        <v>0</v>
      </c>
    </row>
    <row r="5" spans="1:5" s="38" customFormat="1" ht="21.9" customHeight="1" x14ac:dyDescent="0.25">
      <c r="A5" s="37" t="s">
        <v>56</v>
      </c>
      <c r="B5" s="35">
        <f>YEAR(Berechnungsbeginn)-1</f>
        <v>1899</v>
      </c>
      <c r="C5" s="33"/>
      <c r="D5" s="31" t="s">
        <v>48</v>
      </c>
      <c r="E5" s="35">
        <v>1</v>
      </c>
    </row>
    <row r="6" spans="1:5" ht="21.9" customHeight="1" x14ac:dyDescent="0.3">
      <c r="A6" s="31" t="s">
        <v>53</v>
      </c>
      <c r="B6" s="39">
        <f>YEAR(Berechnungsbeginn)</f>
        <v>1900</v>
      </c>
      <c r="C6" s="33"/>
      <c r="D6" s="31" t="s">
        <v>49</v>
      </c>
      <c r="E6" s="35">
        <v>2</v>
      </c>
    </row>
    <row r="7" spans="1:5" s="30" customFormat="1" ht="21.9" customHeight="1" x14ac:dyDescent="0.3">
      <c r="A7" s="31" t="s">
        <v>6</v>
      </c>
      <c r="B7" s="39" t="s">
        <v>10</v>
      </c>
      <c r="C7" s="40"/>
    </row>
    <row r="8" spans="1:5" s="36" customFormat="1" ht="21.9" customHeight="1" x14ac:dyDescent="0.3">
      <c r="A8" s="30"/>
      <c r="B8" s="41"/>
      <c r="C8" s="41"/>
    </row>
    <row r="9" spans="1:5" s="38" customFormat="1" ht="21.9" customHeight="1" x14ac:dyDescent="0.25">
      <c r="B9" s="42"/>
      <c r="C9" s="42"/>
    </row>
    <row r="10" spans="1:5" ht="21.9" customHeight="1" x14ac:dyDescent="0.3">
      <c r="A10" s="27" t="s">
        <v>29</v>
      </c>
      <c r="B10" s="27" t="s">
        <v>30</v>
      </c>
      <c r="C10" s="43"/>
      <c r="D10" s="27" t="s">
        <v>26</v>
      </c>
      <c r="E10" s="27" t="s">
        <v>27</v>
      </c>
    </row>
    <row r="11" spans="1:5" s="30" customFormat="1" ht="21.9" customHeight="1" x14ac:dyDescent="0.3">
      <c r="A11" s="39">
        <v>1</v>
      </c>
      <c r="B11" s="44" t="s">
        <v>13</v>
      </c>
      <c r="C11" s="43"/>
      <c r="D11" s="44" t="s">
        <v>38</v>
      </c>
      <c r="E11" s="44" t="e">
        <f>VLOOKUP(MONTH(EinkommenVon),$A$11:$B$22,2,0) &amp; " " &amp;YEAR(EinkommenVon)</f>
        <v>#VALUE!</v>
      </c>
    </row>
    <row r="12" spans="1:5" s="36" customFormat="1" ht="21.9" customHeight="1" x14ac:dyDescent="0.3">
      <c r="A12" s="39">
        <v>2</v>
      </c>
      <c r="B12" s="44" t="s">
        <v>14</v>
      </c>
      <c r="C12" s="43"/>
      <c r="D12" s="44" t="s">
        <v>46</v>
      </c>
      <c r="E12" s="44" t="e">
        <f>VLOOKUP(MONTH(EDATE(EinkommenVon,1)),$A$11:$B$22,2,0) &amp; " " &amp; YEAR(EDATE(EinkommenVon,1))</f>
        <v>#VALUE!</v>
      </c>
    </row>
    <row r="13" spans="1:5" s="38" customFormat="1" ht="21.9" customHeight="1" x14ac:dyDescent="0.25">
      <c r="A13" s="39">
        <v>3</v>
      </c>
      <c r="B13" s="44" t="s">
        <v>15</v>
      </c>
      <c r="C13" s="43"/>
      <c r="D13" s="44" t="s">
        <v>37</v>
      </c>
      <c r="E13" s="44" t="e">
        <f>VLOOKUP(MONTH(EDATE(EinkommenVon,2)),$A$11:$B$22,2,0) &amp; " " &amp; YEAR(EDATE(EinkommenVon,2))</f>
        <v>#VALUE!</v>
      </c>
    </row>
    <row r="14" spans="1:5" ht="21.9" customHeight="1" x14ac:dyDescent="0.3">
      <c r="A14" s="39">
        <v>4</v>
      </c>
      <c r="B14" s="44" t="s">
        <v>16</v>
      </c>
      <c r="C14" s="43"/>
      <c r="D14" s="44" t="s">
        <v>33</v>
      </c>
      <c r="E14" s="44" t="e">
        <f>VLOOKUP(MONTH(EDATE(EinkommenVon,3)),$A$11:$B$22,2,0) &amp; " " &amp; YEAR(EDATE(EinkommenVon,3))</f>
        <v>#VALUE!</v>
      </c>
    </row>
    <row r="15" spans="1:5" s="30" customFormat="1" ht="21.9" customHeight="1" x14ac:dyDescent="0.3">
      <c r="A15" s="39">
        <v>5</v>
      </c>
      <c r="B15" s="44" t="s">
        <v>17</v>
      </c>
      <c r="C15" s="43"/>
      <c r="D15" s="44" t="s">
        <v>34</v>
      </c>
      <c r="E15" s="44" t="e">
        <f>VLOOKUP(MONTH(EDATE(EinkommenVon,4)),$A$11:$B$22,2,0) &amp; " " &amp; YEAR(EDATE(EinkommenVon,4))</f>
        <v>#VALUE!</v>
      </c>
    </row>
    <row r="16" spans="1:5" s="36" customFormat="1" ht="21.9" customHeight="1" x14ac:dyDescent="0.3">
      <c r="A16" s="39">
        <v>6</v>
      </c>
      <c r="B16" s="44" t="s">
        <v>18</v>
      </c>
      <c r="C16" s="43"/>
      <c r="D16" s="44" t="s">
        <v>63</v>
      </c>
      <c r="E16" s="44" t="e">
        <f>VLOOKUP(MONTH(EDATE(EinkommenVon,5)),$A$11:$B$22,2,0) &amp; " " &amp; YEAR(EDATE(EinkommenVon,5))</f>
        <v>#VALUE!</v>
      </c>
    </row>
    <row r="17" spans="1:5" s="38" customFormat="1" ht="21.9" customHeight="1" x14ac:dyDescent="0.25">
      <c r="A17" s="39">
        <v>7</v>
      </c>
      <c r="B17" s="44" t="s">
        <v>19</v>
      </c>
      <c r="C17" s="43"/>
      <c r="D17" s="44" t="s">
        <v>11</v>
      </c>
      <c r="E17" s="44" t="e">
        <f>VLOOKUP(MONTH(EDATE(EinkommenVon,6)),$A$11:$B$22,2,0) &amp; " " &amp; YEAR(EDATE(EinkommenVon,6))</f>
        <v>#VALUE!</v>
      </c>
    </row>
    <row r="18" spans="1:5" ht="21.9" customHeight="1" x14ac:dyDescent="0.3">
      <c r="A18" s="39">
        <v>8</v>
      </c>
      <c r="B18" s="44" t="s">
        <v>20</v>
      </c>
      <c r="C18" s="43"/>
      <c r="D18" s="44" t="s">
        <v>12</v>
      </c>
      <c r="E18" s="44" t="e">
        <f>VLOOKUP(MONTH(EDATE(EinkommenVon,7)),$A$11:$B$22,2,0) &amp; " " &amp; YEAR(EDATE(EinkommenVon,7))</f>
        <v>#VALUE!</v>
      </c>
    </row>
    <row r="19" spans="1:5" ht="21.9" customHeight="1" x14ac:dyDescent="0.3">
      <c r="A19" s="39">
        <v>9</v>
      </c>
      <c r="B19" s="44" t="s">
        <v>21</v>
      </c>
      <c r="C19" s="43"/>
      <c r="D19" s="44" t="s">
        <v>40</v>
      </c>
      <c r="E19" s="44" t="e">
        <f>VLOOKUP(MONTH(EDATE(EinkommenVon,8)),$A$11:$B$22,2,0) &amp; " " &amp; YEAR(EDATE(EinkommenVon,8))</f>
        <v>#VALUE!</v>
      </c>
    </row>
    <row r="20" spans="1:5" ht="21.9" customHeight="1" x14ac:dyDescent="0.3">
      <c r="A20" s="39">
        <v>10</v>
      </c>
      <c r="B20" s="44" t="s">
        <v>22</v>
      </c>
      <c r="C20" s="43"/>
      <c r="D20" s="44" t="s">
        <v>41</v>
      </c>
      <c r="E20" s="44" t="e">
        <f>VLOOKUP(MONTH(EDATE(EinkommenVon,9)),$A$11:$B$22,2,0) &amp; " " &amp; YEAR(EDATE(EinkommenVon,9))</f>
        <v>#VALUE!</v>
      </c>
    </row>
    <row r="21" spans="1:5" ht="21.9" customHeight="1" x14ac:dyDescent="0.3">
      <c r="A21" s="39">
        <v>11</v>
      </c>
      <c r="B21" s="44" t="s">
        <v>23</v>
      </c>
      <c r="C21" s="43"/>
      <c r="D21" s="44" t="s">
        <v>42</v>
      </c>
      <c r="E21" s="44" t="e">
        <f>VLOOKUP(MONTH(EDATE(EinkommenVon,10)),$A$11:$B$22,2,0) &amp; " " &amp; YEAR(EDATE(EinkommenVon,10))</f>
        <v>#VALUE!</v>
      </c>
    </row>
    <row r="22" spans="1:5" ht="21.9" customHeight="1" x14ac:dyDescent="0.3">
      <c r="A22" s="39">
        <v>12</v>
      </c>
      <c r="B22" s="44" t="s">
        <v>24</v>
      </c>
      <c r="C22" s="43"/>
      <c r="D22" s="44" t="s">
        <v>43</v>
      </c>
      <c r="E22" s="44" t="e">
        <f>VLOOKUP(MONTH(EDATE(EinkommenVon,11)),$A$11:$B$22,2,0) &amp; " " &amp; YEAR(EDATE(EinkommenVon,11))</f>
        <v>#VALUE!</v>
      </c>
    </row>
    <row r="23" spans="1:5" ht="21.9" customHeight="1" x14ac:dyDescent="0.3">
      <c r="E23" s="43"/>
    </row>
    <row r="24" spans="1:5" ht="21.9" customHeight="1" x14ac:dyDescent="0.3">
      <c r="A24" s="27" t="s">
        <v>79</v>
      </c>
      <c r="B24" s="27" t="s">
        <v>7</v>
      </c>
      <c r="C24" s="27" t="s">
        <v>118</v>
      </c>
      <c r="E24" s="43"/>
    </row>
    <row r="25" spans="1:5" ht="21.9" customHeight="1" x14ac:dyDescent="0.3">
      <c r="A25" s="31" t="s">
        <v>84</v>
      </c>
      <c r="B25" s="32">
        <f>VLOOKUP(AuswahlBeitragsstufe,Auswahlwerte!A26:B30,2,0)</f>
        <v>0</v>
      </c>
      <c r="C25" s="39"/>
      <c r="E25" s="43"/>
    </row>
    <row r="26" spans="1:5" ht="21.9" customHeight="1" x14ac:dyDescent="0.3">
      <c r="A26" s="31" t="s">
        <v>52</v>
      </c>
      <c r="B26" s="46">
        <v>0</v>
      </c>
      <c r="C26" s="47">
        <v>0</v>
      </c>
      <c r="E26" s="43"/>
    </row>
    <row r="27" spans="1:5" ht="21.9" customHeight="1" x14ac:dyDescent="0.3">
      <c r="A27" s="31" t="s">
        <v>80</v>
      </c>
      <c r="B27" s="46">
        <v>1</v>
      </c>
      <c r="C27" s="47">
        <f>IF(MaßgeblEinkGruppe=0,0,VLOOKUP(MaßgeblEinkGruppe,Parameter!A10:F24,3,0))</f>
        <v>0</v>
      </c>
      <c r="E27" s="43"/>
    </row>
    <row r="28" spans="1:5" ht="21.9" customHeight="1" x14ac:dyDescent="0.3">
      <c r="A28" s="31" t="s">
        <v>81</v>
      </c>
      <c r="B28" s="46">
        <v>2</v>
      </c>
      <c r="C28" s="47">
        <f>IF(MaßgeblEinkGruppe=0,0,VLOOKUP(MaßgeblEinkGruppe,Parameter!A10:F24,4,0))</f>
        <v>0</v>
      </c>
      <c r="D28" s="43"/>
      <c r="E28" s="43"/>
    </row>
    <row r="29" spans="1:5" ht="21.9" customHeight="1" x14ac:dyDescent="0.3">
      <c r="A29" s="31" t="s">
        <v>82</v>
      </c>
      <c r="B29" s="46">
        <v>3</v>
      </c>
      <c r="C29" s="47">
        <f>IF(MaßgeblEinkGruppe=0,0,VLOOKUP(MaßgeblEinkGruppe,Parameter!A10:F24,5,0))</f>
        <v>0</v>
      </c>
    </row>
    <row r="30" spans="1:5" ht="21.9" customHeight="1" x14ac:dyDescent="0.3">
      <c r="A30" s="31" t="s">
        <v>83</v>
      </c>
      <c r="B30" s="46">
        <v>4</v>
      </c>
      <c r="C30" s="47">
        <f>IF(MaßgeblEinkGruppe=0,0,VLOOKUP(MaßgeblEinkGruppe,Parameter!A10:F24,6,0))</f>
        <v>0</v>
      </c>
    </row>
    <row r="32" spans="1:5" ht="21.9" customHeight="1" x14ac:dyDescent="0.3">
      <c r="A32" s="139" t="s">
        <v>136</v>
      </c>
      <c r="B32" s="139" t="s">
        <v>7</v>
      </c>
      <c r="C32" s="27" t="s">
        <v>137</v>
      </c>
    </row>
    <row r="33" spans="1:3" ht="21.9" customHeight="1" x14ac:dyDescent="0.3">
      <c r="A33" s="138" t="s">
        <v>84</v>
      </c>
      <c r="B33" s="32">
        <f>VLOOKUP(Berechnung!A111,A34:C38,2,0)</f>
        <v>0</v>
      </c>
      <c r="C33" s="46">
        <f>VLOOKUP(Berechnung!A111,A34:C38,3,0)</f>
        <v>0</v>
      </c>
    </row>
    <row r="34" spans="1:3" ht="21.9" customHeight="1" x14ac:dyDescent="0.3">
      <c r="A34" s="138" t="s">
        <v>52</v>
      </c>
      <c r="B34" s="46">
        <v>0</v>
      </c>
      <c r="C34" s="46">
        <v>0</v>
      </c>
    </row>
    <row r="35" spans="1:3" ht="21.9" customHeight="1" x14ac:dyDescent="0.3">
      <c r="A35" s="138" t="s">
        <v>145</v>
      </c>
      <c r="B35" s="46">
        <v>1</v>
      </c>
      <c r="C35" s="46">
        <v>0</v>
      </c>
    </row>
    <row r="36" spans="1:3" ht="21.9" customHeight="1" x14ac:dyDescent="0.3">
      <c r="A36" s="138" t="s">
        <v>144</v>
      </c>
      <c r="B36" s="46">
        <v>1</v>
      </c>
      <c r="C36" s="46">
        <v>0</v>
      </c>
    </row>
    <row r="37" spans="1:3" ht="21.9" customHeight="1" x14ac:dyDescent="0.3">
      <c r="A37" s="138" t="s">
        <v>146</v>
      </c>
      <c r="B37" s="46">
        <v>2</v>
      </c>
      <c r="C37" s="46">
        <v>50</v>
      </c>
    </row>
    <row r="38" spans="1:3" ht="21.9" customHeight="1" x14ac:dyDescent="0.3">
      <c r="A38" s="138" t="s">
        <v>147</v>
      </c>
      <c r="B38" s="46">
        <v>3</v>
      </c>
      <c r="C38" s="46">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showGridLines="0" topLeftCell="A18" workbookViewId="0">
      <selection activeCell="B30" sqref="B30"/>
    </sheetView>
  </sheetViews>
  <sheetFormatPr baseColWidth="10" defaultColWidth="11.44140625" defaultRowHeight="21.9" customHeight="1" x14ac:dyDescent="0.3"/>
  <cols>
    <col min="1" max="1" width="44.5546875" style="5" customWidth="1"/>
    <col min="2" max="2" width="55" style="9" bestFit="1" customWidth="1"/>
    <col min="3" max="8" width="22.33203125" style="9" customWidth="1"/>
    <col min="9" max="16384" width="11.44140625" style="1"/>
  </cols>
  <sheetData>
    <row r="1" spans="1:8" ht="21.9" customHeight="1" x14ac:dyDescent="0.3">
      <c r="A1" s="171" t="s">
        <v>68</v>
      </c>
      <c r="B1" s="171"/>
    </row>
    <row r="2" spans="1:8" s="6" customFormat="1" ht="21.9" customHeight="1" x14ac:dyDescent="0.3">
      <c r="A2" s="8" t="s">
        <v>70</v>
      </c>
      <c r="B2" s="7" t="s">
        <v>7</v>
      </c>
      <c r="C2" s="7" t="s">
        <v>142</v>
      </c>
      <c r="D2" s="144" t="s">
        <v>150</v>
      </c>
      <c r="E2" s="144" t="s">
        <v>151</v>
      </c>
      <c r="F2" s="7"/>
      <c r="G2" s="7"/>
      <c r="H2" s="7"/>
    </row>
    <row r="3" spans="1:8" ht="21.9" customHeight="1" x14ac:dyDescent="0.3">
      <c r="A3" s="5" t="s">
        <v>69</v>
      </c>
      <c r="B3" s="23">
        <v>0.3</v>
      </c>
      <c r="C3" s="141">
        <v>20</v>
      </c>
      <c r="D3" s="13"/>
      <c r="E3" s="13"/>
    </row>
    <row r="4" spans="1:8" ht="21.9" customHeight="1" x14ac:dyDescent="0.3">
      <c r="A4" s="5" t="s">
        <v>143</v>
      </c>
      <c r="B4" s="23">
        <v>0.35</v>
      </c>
      <c r="C4" s="5"/>
      <c r="D4" s="145">
        <v>2021</v>
      </c>
      <c r="E4" s="145">
        <v>2021</v>
      </c>
    </row>
    <row r="5" spans="1:8" ht="21.9" customHeight="1" x14ac:dyDescent="0.3">
      <c r="A5" s="5" t="s">
        <v>149</v>
      </c>
      <c r="B5" s="23">
        <v>0.38</v>
      </c>
      <c r="C5" s="5"/>
      <c r="D5" s="145">
        <v>2022</v>
      </c>
      <c r="E5" s="145">
        <v>2026</v>
      </c>
    </row>
    <row r="6" spans="1:8" ht="21.9" customHeight="1" x14ac:dyDescent="0.3">
      <c r="A6" s="5" t="s">
        <v>71</v>
      </c>
      <c r="B6" s="24">
        <v>220</v>
      </c>
    </row>
    <row r="8" spans="1:8" ht="21.9" customHeight="1" x14ac:dyDescent="0.3">
      <c r="A8" s="8" t="s">
        <v>85</v>
      </c>
    </row>
    <row r="9" spans="1:8" s="2" customFormat="1" ht="27.6" x14ac:dyDescent="0.3">
      <c r="A9" s="4" t="s">
        <v>86</v>
      </c>
      <c r="B9" s="4" t="s">
        <v>92</v>
      </c>
      <c r="C9" s="3" t="s">
        <v>87</v>
      </c>
      <c r="D9" s="3" t="s">
        <v>88</v>
      </c>
      <c r="E9" s="3" t="s">
        <v>89</v>
      </c>
      <c r="F9" s="3" t="s">
        <v>90</v>
      </c>
      <c r="G9" s="3" t="s">
        <v>91</v>
      </c>
    </row>
    <row r="10" spans="1:8" ht="21.9" customHeight="1" x14ac:dyDescent="0.3">
      <c r="A10" s="10">
        <v>1</v>
      </c>
      <c r="B10" s="11">
        <v>1524.99</v>
      </c>
      <c r="C10" s="23">
        <v>0</v>
      </c>
      <c r="D10" s="23">
        <v>0</v>
      </c>
      <c r="E10" s="23">
        <v>0</v>
      </c>
      <c r="F10" s="23">
        <v>0</v>
      </c>
      <c r="G10" s="17" t="str">
        <f>IF(MaßgeblEinkommen&lt;=Parameter!B10,Parameter!A10,"")</f>
        <v/>
      </c>
      <c r="H10" s="1"/>
    </row>
    <row r="11" spans="1:8" ht="21.9" customHeight="1" x14ac:dyDescent="0.3">
      <c r="A11" s="10">
        <v>2</v>
      </c>
      <c r="B11" s="11">
        <v>1800.99</v>
      </c>
      <c r="C11" s="23">
        <v>72</v>
      </c>
      <c r="D11" s="23">
        <v>55</v>
      </c>
      <c r="E11" s="23">
        <v>0</v>
      </c>
      <c r="F11" s="23">
        <v>68</v>
      </c>
      <c r="G11" s="17" t="str">
        <f>IF(AND(MaßgeblEinkommen&lt;=Parameter!B11,MaßgeblEinkommen&gt;Parameter!B10)=TRUE,Parameter!A11,"")</f>
        <v/>
      </c>
      <c r="H11" s="1"/>
    </row>
    <row r="12" spans="1:8" ht="21.9" customHeight="1" x14ac:dyDescent="0.3">
      <c r="A12" s="10">
        <v>3</v>
      </c>
      <c r="B12" s="11">
        <v>2000.99</v>
      </c>
      <c r="C12" s="23">
        <v>128</v>
      </c>
      <c r="D12" s="23">
        <v>80</v>
      </c>
      <c r="E12" s="23">
        <v>35</v>
      </c>
      <c r="F12" s="23">
        <v>80</v>
      </c>
      <c r="G12" s="17" t="str">
        <f>IF(AND(MaßgeblEinkommen&lt;=Parameter!B12,MaßgeblEinkommen&gt;Parameter!B11)=TRUE,Parameter!A12,"")</f>
        <v/>
      </c>
      <c r="H12" s="1"/>
    </row>
    <row r="13" spans="1:8" ht="21.9" customHeight="1" x14ac:dyDescent="0.3">
      <c r="A13" s="10">
        <v>4</v>
      </c>
      <c r="B13" s="11">
        <v>2200.9899999999998</v>
      </c>
      <c r="C13" s="23">
        <v>216</v>
      </c>
      <c r="D13" s="23">
        <v>100</v>
      </c>
      <c r="E13" s="23">
        <v>45</v>
      </c>
      <c r="F13" s="23">
        <v>90</v>
      </c>
      <c r="G13" s="17" t="str">
        <f>IF(AND(MaßgeblEinkommen&lt;=Parameter!B13,MaßgeblEinkommen&gt;Parameter!B12)=TRUE,Parameter!A13,"")</f>
        <v/>
      </c>
      <c r="H13" s="1"/>
    </row>
    <row r="14" spans="1:8" ht="21.9" customHeight="1" x14ac:dyDescent="0.3">
      <c r="A14" s="10">
        <v>5</v>
      </c>
      <c r="B14" s="11">
        <v>2400.9899999999998</v>
      </c>
      <c r="C14" s="23">
        <v>300</v>
      </c>
      <c r="D14" s="23">
        <v>135</v>
      </c>
      <c r="E14" s="23">
        <v>55</v>
      </c>
      <c r="F14" s="23">
        <v>100</v>
      </c>
      <c r="G14" s="17" t="str">
        <f>IF(AND(MaßgeblEinkommen&lt;=Parameter!B14,MaßgeblEinkommen&gt;Parameter!B13)=TRUE,Parameter!A14,"")</f>
        <v/>
      </c>
      <c r="H14" s="1"/>
    </row>
    <row r="15" spans="1:8" ht="21.9" customHeight="1" x14ac:dyDescent="0.3">
      <c r="A15" s="10">
        <v>6</v>
      </c>
      <c r="B15" s="11">
        <v>2700.99</v>
      </c>
      <c r="C15" s="23">
        <v>374</v>
      </c>
      <c r="D15" s="23">
        <v>170</v>
      </c>
      <c r="E15" s="23">
        <v>75</v>
      </c>
      <c r="F15" s="23">
        <v>110</v>
      </c>
      <c r="G15" s="17" t="str">
        <f>IF(AND(MaßgeblEinkommen&lt;=Parameter!B15,MaßgeblEinkommen&gt;Parameter!B14)=TRUE,Parameter!A15,"")</f>
        <v/>
      </c>
      <c r="H15" s="1"/>
    </row>
    <row r="16" spans="1:8" ht="21.9" customHeight="1" x14ac:dyDescent="0.3">
      <c r="A16" s="10">
        <v>7</v>
      </c>
      <c r="B16" s="11">
        <v>3000.99</v>
      </c>
      <c r="C16" s="23">
        <v>456</v>
      </c>
      <c r="D16" s="23">
        <v>215</v>
      </c>
      <c r="E16" s="23">
        <v>115</v>
      </c>
      <c r="F16" s="23">
        <v>120</v>
      </c>
      <c r="G16" s="17" t="str">
        <f>IF(AND(MaßgeblEinkommen&lt;=Parameter!B16,MaßgeblEinkommen&gt;Parameter!B15)=TRUE,Parameter!A16,"")</f>
        <v/>
      </c>
      <c r="H16" s="1"/>
    </row>
    <row r="17" spans="1:8" ht="21.9" customHeight="1" x14ac:dyDescent="0.3">
      <c r="A17" s="10">
        <v>8</v>
      </c>
      <c r="B17" s="11">
        <v>3300.99</v>
      </c>
      <c r="C17" s="23">
        <v>540</v>
      </c>
      <c r="D17" s="23">
        <v>270</v>
      </c>
      <c r="E17" s="23">
        <v>160</v>
      </c>
      <c r="F17" s="23">
        <v>135</v>
      </c>
      <c r="G17" s="17" t="str">
        <f>IF(AND(MaßgeblEinkommen&lt;=Parameter!B17,MaßgeblEinkommen&gt;Parameter!B16)=TRUE,Parameter!A17,"")</f>
        <v/>
      </c>
      <c r="H17" s="1"/>
    </row>
    <row r="18" spans="1:8" ht="21.9" customHeight="1" x14ac:dyDescent="0.3">
      <c r="A18" s="10">
        <v>9</v>
      </c>
      <c r="B18" s="11">
        <v>3600.99</v>
      </c>
      <c r="C18" s="23">
        <v>615</v>
      </c>
      <c r="D18" s="23">
        <v>330</v>
      </c>
      <c r="E18" s="23">
        <v>205</v>
      </c>
      <c r="F18" s="23">
        <v>150</v>
      </c>
      <c r="G18" s="17" t="str">
        <f>IF(AND(MaßgeblEinkommen&lt;=Parameter!B18,MaßgeblEinkommen&gt;Parameter!B17)=TRUE,Parameter!A18,"")</f>
        <v/>
      </c>
      <c r="H18" s="1"/>
    </row>
    <row r="19" spans="1:8" ht="21.9" customHeight="1" x14ac:dyDescent="0.3">
      <c r="A19" s="10">
        <v>10</v>
      </c>
      <c r="B19" s="11">
        <v>3900.99</v>
      </c>
      <c r="C19" s="23">
        <v>693</v>
      </c>
      <c r="D19" s="23">
        <v>405</v>
      </c>
      <c r="E19" s="23">
        <v>255</v>
      </c>
      <c r="F19" s="23">
        <v>165</v>
      </c>
      <c r="G19" s="17" t="str">
        <f>IF(AND(MaßgeblEinkommen&lt;=Parameter!B19,MaßgeblEinkommen&gt;Parameter!B18)=TRUE,Parameter!A19,"")</f>
        <v/>
      </c>
      <c r="H19" s="1"/>
    </row>
    <row r="20" spans="1:8" ht="21.9" customHeight="1" x14ac:dyDescent="0.3">
      <c r="A20" s="10">
        <v>11</v>
      </c>
      <c r="B20" s="11">
        <v>4200.99</v>
      </c>
      <c r="C20" s="23">
        <v>792</v>
      </c>
      <c r="D20" s="23">
        <v>480</v>
      </c>
      <c r="E20" s="23">
        <v>315</v>
      </c>
      <c r="F20" s="23">
        <v>180</v>
      </c>
      <c r="G20" s="17" t="str">
        <f>IF(AND(MaßgeblEinkommen&lt;=Parameter!B20,MaßgeblEinkommen&gt;Parameter!B19)=TRUE,Parameter!A20,"")</f>
        <v/>
      </c>
      <c r="H20" s="1"/>
    </row>
    <row r="21" spans="1:8" ht="21.9" customHeight="1" x14ac:dyDescent="0.3">
      <c r="A21" s="10">
        <v>12</v>
      </c>
      <c r="B21" s="11">
        <v>4600.99</v>
      </c>
      <c r="C21" s="23">
        <v>897</v>
      </c>
      <c r="D21" s="23">
        <v>555</v>
      </c>
      <c r="E21" s="23">
        <v>375</v>
      </c>
      <c r="F21" s="23">
        <v>195</v>
      </c>
      <c r="G21" s="17" t="str">
        <f>IF(AND(MaßgeblEinkommen&lt;=Parameter!B21,MaßgeblEinkommen&gt;Parameter!B20)=TRUE,Parameter!A21,"")</f>
        <v/>
      </c>
      <c r="H21" s="1"/>
    </row>
    <row r="22" spans="1:8" ht="21.9" customHeight="1" x14ac:dyDescent="0.3">
      <c r="A22" s="10">
        <v>13</v>
      </c>
      <c r="B22" s="11">
        <v>5000.99</v>
      </c>
      <c r="C22" s="23">
        <v>1029</v>
      </c>
      <c r="D22" s="23">
        <v>630</v>
      </c>
      <c r="E22" s="23">
        <v>420</v>
      </c>
      <c r="F22" s="23">
        <v>210</v>
      </c>
      <c r="G22" s="17" t="str">
        <f>IF(AND(MaßgeblEinkommen&lt;=Parameter!B22,MaßgeblEinkommen&gt;Parameter!B21)=TRUE,Parameter!A22,"")</f>
        <v/>
      </c>
      <c r="H22" s="1"/>
    </row>
    <row r="23" spans="1:8" ht="21.9" customHeight="1" x14ac:dyDescent="0.3">
      <c r="A23" s="10">
        <v>14</v>
      </c>
      <c r="B23" s="11">
        <v>5500.99</v>
      </c>
      <c r="C23" s="23">
        <v>1141</v>
      </c>
      <c r="D23" s="23">
        <v>690</v>
      </c>
      <c r="E23" s="23">
        <v>460</v>
      </c>
      <c r="F23" s="23">
        <v>230</v>
      </c>
      <c r="G23" s="17" t="str">
        <f>IF(AND(MaßgeblEinkommen&lt;=Parameter!B23,MaßgeblEinkommen&gt;Parameter!B22)=TRUE,Parameter!A23,"")</f>
        <v/>
      </c>
      <c r="H23" s="1"/>
    </row>
    <row r="24" spans="1:8" ht="21.9" customHeight="1" x14ac:dyDescent="0.3">
      <c r="A24" s="10">
        <v>15</v>
      </c>
      <c r="B24" s="11">
        <v>999999.99</v>
      </c>
      <c r="C24" s="23" t="e">
        <f>D35</f>
        <v>#VALUE!</v>
      </c>
      <c r="D24" s="23" t="e">
        <f>D36</f>
        <v>#VALUE!</v>
      </c>
      <c r="E24" s="23" t="e">
        <f>D37</f>
        <v>#VALUE!</v>
      </c>
      <c r="F24" s="23" t="e">
        <f>D38</f>
        <v>#VALUE!</v>
      </c>
      <c r="G24" s="17" t="str">
        <f>IF(AND(MaßgeblEinkommen&lt;=Parameter!B24,MaßgeblEinkommen&gt;Parameter!B23)=TRUE,Parameter!A24,"")</f>
        <v/>
      </c>
      <c r="H24" s="1"/>
    </row>
    <row r="25" spans="1:8" ht="21.9" customHeight="1" thickBot="1" x14ac:dyDescent="0.35"/>
    <row r="26" spans="1:8" ht="21.9" customHeight="1" thickBot="1" x14ac:dyDescent="0.35">
      <c r="A26" s="15" t="s">
        <v>93</v>
      </c>
      <c r="B26" s="16">
        <f>MAX(G10:G24)</f>
        <v>0</v>
      </c>
      <c r="C26" s="172" t="str">
        <f>"("&amp;IF(MaßgeblEinkommen&lt;B10,"unter "&amp;TEXT(B10,"#.##0,00 €") &amp;")",IF(MaßgeblEinkommen&gt;B23,"über "&amp;TEXT(B23,"#.##0,00 €"),IF(MaßgeblEinkommen&lt;=Parameter!B10,TEXT(0,"#.##0,00 €"),TEXT(VLOOKUP(VorlEinkommensgruppe-1,A10:B24,2)+0.01,"#.##0,00 €")&amp;" bis "&amp;TEXT(VLOOKUP(VorlEinkommensgruppe,A10:B24,2),"#.##0,00 €")))&amp;")")</f>
        <v>(über 5.500,99 €)</v>
      </c>
      <c r="D26" s="173"/>
    </row>
    <row r="28" spans="1:8" ht="21.9" customHeight="1" x14ac:dyDescent="0.3">
      <c r="A28" s="14" t="s">
        <v>94</v>
      </c>
      <c r="B28" s="12">
        <f>AnzWeitereUHBerechtigte</f>
        <v>0</v>
      </c>
    </row>
    <row r="30" spans="1:8" ht="21.9" customHeight="1" x14ac:dyDescent="0.3">
      <c r="A30" s="14" t="s">
        <v>154</v>
      </c>
      <c r="B30" s="12">
        <f>IF(IF(AND(VorlEinkommensgruppe&gt;=2,VorlEinkommensgruppe&lt;=6)=TRUE,IF(VorlEinkommensgruppe-AnzWeitereUHBerechtigte*2&lt;1,1,VorlEinkommensgruppe-AnzWeitereUHBerechtigte*2),IF(AND(VorlEinkommensgruppe&gt;=7,VorlEinkommensgruppe&lt;=14)=TRUE,IF(VorlEinkommensgruppe-AnzWeitereUHBerechtigte&lt;1,1,VorlEinkommensgruppe-AnzWeitereUHBerechtigte),VorlEinkommensgruppe))=0,1,IF(AND(VorlEinkommensgruppe&gt;=2,VorlEinkommensgruppe&lt;=6)=TRUE,IF(VorlEinkommensgruppe-AnzWeitereUHBerechtigte*2&lt;1,1,VorlEinkommensgruppe-AnzWeitereUHBerechtigte*2),IF(AND(VorlEinkommensgruppe&gt;=7,VorlEinkommensgruppe&lt;=14)=TRUE,IF(VorlEinkommensgruppe-AnzWeitereUHBerechtigte&lt;1,1,VorlEinkommensgruppe-AnzWeitereUHBerechtigte),VorlEinkommensgruppe)))</f>
        <v>1</v>
      </c>
      <c r="C30" s="13"/>
    </row>
    <row r="31" spans="1:8" ht="21.9" customHeight="1" x14ac:dyDescent="0.3">
      <c r="A31" s="14" t="s">
        <v>155</v>
      </c>
      <c r="B31" s="12">
        <f>IF(IF(OR(EKGruppeVJ§4=2,EKGruppeVJ§4=3)=TRUE,1,IF(EKGruppeVJ§4=4,2,EKGruppeVJ§4))&gt;10,10,IF(OR(EKGruppeVJ§4=2,EKGruppeVJ§4=3)=TRUE,1,IF(EKGruppeVJ§4=4,2,EKGruppeVJ§4)))</f>
        <v>1</v>
      </c>
      <c r="C31" s="1"/>
    </row>
    <row r="32" spans="1:8" ht="21.9" customHeight="1" x14ac:dyDescent="0.3">
      <c r="A32" s="14" t="s">
        <v>100</v>
      </c>
      <c r="B32" s="12">
        <f>Beitragsstufe</f>
        <v>0</v>
      </c>
    </row>
    <row r="34" spans="1:5" ht="21.9" customHeight="1" x14ac:dyDescent="0.3">
      <c r="A34" s="20" t="s">
        <v>152</v>
      </c>
      <c r="B34" s="21" t="s">
        <v>103</v>
      </c>
      <c r="C34" s="21" t="s">
        <v>104</v>
      </c>
      <c r="D34" s="22" t="s">
        <v>105</v>
      </c>
      <c r="E34" s="22" t="s">
        <v>111</v>
      </c>
    </row>
    <row r="35" spans="1:5" ht="21.9" customHeight="1" x14ac:dyDescent="0.3">
      <c r="A35" s="14" t="s">
        <v>102</v>
      </c>
      <c r="B35" s="12">
        <v>1</v>
      </c>
      <c r="C35" s="12">
        <v>25</v>
      </c>
      <c r="D35" s="19" t="e">
        <f>MaßgeblEinkommen*Parameter!C35/100</f>
        <v>#VALUE!</v>
      </c>
      <c r="E35" s="18" t="s">
        <v>108</v>
      </c>
    </row>
    <row r="36" spans="1:5" ht="21.9" customHeight="1" x14ac:dyDescent="0.3">
      <c r="A36" s="14" t="s">
        <v>102</v>
      </c>
      <c r="B36" s="12">
        <v>2</v>
      </c>
      <c r="C36" s="12">
        <v>15</v>
      </c>
      <c r="D36" s="19" t="e">
        <f>MaßgeblEinkommen*Parameter!C36/100</f>
        <v>#VALUE!</v>
      </c>
      <c r="E36" s="18" t="s">
        <v>109</v>
      </c>
    </row>
    <row r="37" spans="1:5" ht="21.9" customHeight="1" x14ac:dyDescent="0.3">
      <c r="A37" s="14" t="s">
        <v>102</v>
      </c>
      <c r="B37" s="12">
        <v>3</v>
      </c>
      <c r="C37" s="12">
        <v>10</v>
      </c>
      <c r="D37" s="19" t="e">
        <f>MaßgeblEinkommen*Parameter!C37/100</f>
        <v>#VALUE!</v>
      </c>
      <c r="E37" s="18" t="s">
        <v>110</v>
      </c>
    </row>
    <row r="38" spans="1:5" ht="21.9" customHeight="1" x14ac:dyDescent="0.3">
      <c r="A38" s="14" t="s">
        <v>106</v>
      </c>
      <c r="B38" s="12">
        <v>4</v>
      </c>
      <c r="C38" s="12">
        <v>5</v>
      </c>
      <c r="D38" s="19" t="e">
        <f>MaßgeblEinkommen*Parameter!C38/100</f>
        <v>#VALUE!</v>
      </c>
      <c r="E38" s="18" t="s">
        <v>107</v>
      </c>
    </row>
  </sheetData>
  <mergeCells count="2">
    <mergeCell ref="A1:B1"/>
    <mergeCell ref="C26:D26"/>
  </mergeCells>
  <phoneticPr fontId="54" type="noConversion"/>
  <conditionalFormatting sqref="B3:B6">
    <cfRule type="expression" dxfId="7" priority="13">
      <formula>$I$12&lt;&gt;""</formula>
    </cfRule>
  </conditionalFormatting>
  <conditionalFormatting sqref="C3">
    <cfRule type="expression" dxfId="5" priority="7">
      <formula>$I$12&lt;&gt;""</formula>
    </cfRule>
  </conditionalFormatting>
  <conditionalFormatting sqref="C10:F24">
    <cfRule type="expression" dxfId="3" priority="11">
      <formula>$I$12&lt;&gt;""</formula>
    </cfRule>
  </conditionalFormatting>
  <conditionalFormatting sqref="D4:E5">
    <cfRule type="expression" dxfId="1" priority="1">
      <formula>$I$12&lt;&gt;""</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4" operator="equal" id="{D3F7A696-2DB9-47F0-BDE1-793F6F6ABD29}">
            <xm:f>Auswahlwerte!$B$7</xm:f>
            <x14:dxf>
              <font>
                <color rgb="FFC00000"/>
              </font>
            </x14:dxf>
          </x14:cfRule>
          <xm:sqref>B3:B6</xm:sqref>
        </x14:conditionalFormatting>
        <x14:conditionalFormatting xmlns:xm="http://schemas.microsoft.com/office/excel/2006/main">
          <x14:cfRule type="cellIs" priority="8" operator="equal" id="{1680A634-48CF-4919-BE5B-E11975DB2F5B}">
            <xm:f>Auswahlwerte!$B$7</xm:f>
            <x14:dxf>
              <font>
                <color rgb="FFC00000"/>
              </font>
            </x14:dxf>
          </x14:cfRule>
          <xm:sqref>C3</xm:sqref>
        </x14:conditionalFormatting>
        <x14:conditionalFormatting xmlns:xm="http://schemas.microsoft.com/office/excel/2006/main">
          <x14:cfRule type="cellIs" priority="12" operator="equal" id="{B665F48B-6624-4BD1-ADEB-9AB12F17C4EA}">
            <xm:f>Auswahlwerte!$B$7</xm:f>
            <x14:dxf>
              <font>
                <color rgb="FFC00000"/>
              </font>
            </x14:dxf>
          </x14:cfRule>
          <xm:sqref>C10:F24</xm:sqref>
        </x14:conditionalFormatting>
        <x14:conditionalFormatting xmlns:xm="http://schemas.microsoft.com/office/excel/2006/main">
          <x14:cfRule type="cellIs" priority="2" operator="equal" id="{D38C0C36-BBDA-4CD6-BD8F-2AC31FB28AFB}">
            <xm:f>Auswahlwerte!$B$7</xm:f>
            <x14:dxf>
              <font>
                <color rgb="FFC00000"/>
              </font>
            </x14:dxf>
          </x14:cfRule>
          <xm:sqref>D4:E5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35</vt:i4>
      </vt:variant>
    </vt:vector>
  </HeadingPairs>
  <TitlesOfParts>
    <vt:vector size="38" baseType="lpstr">
      <vt:lpstr>Berechnung</vt:lpstr>
      <vt:lpstr>Auswahlwerte</vt:lpstr>
      <vt:lpstr>Parameter</vt:lpstr>
      <vt:lpstr>Aktenzeichen</vt:lpstr>
      <vt:lpstr>AnzWeitereUHBerechtigte</vt:lpstr>
      <vt:lpstr>Arbeitstage_Jahr</vt:lpstr>
      <vt:lpstr>AuswahlBeitragsstufe</vt:lpstr>
      <vt:lpstr>AuswahlBetragsartEinkommenNST</vt:lpstr>
      <vt:lpstr>AuswahlEinkommensjahr</vt:lpstr>
      <vt:lpstr>Beitragsstufe</vt:lpstr>
      <vt:lpstr>Berechnungsbeginn</vt:lpstr>
      <vt:lpstr>Berechnungsdatum</vt:lpstr>
      <vt:lpstr>Berechnungsende</vt:lpstr>
      <vt:lpstr>BetragsartEinkommenNST</vt:lpstr>
      <vt:lpstr>biskm1</vt:lpstr>
      <vt:lpstr>biskm2</vt:lpstr>
      <vt:lpstr>Berechnung!Druckbereich</vt:lpstr>
      <vt:lpstr>EinkommenBis</vt:lpstr>
      <vt:lpstr>Einkommensmonate</vt:lpstr>
      <vt:lpstr>Einkommenszeitraum</vt:lpstr>
      <vt:lpstr>EinkommenVon</vt:lpstr>
      <vt:lpstr>EKGruppeVJ§4</vt:lpstr>
      <vt:lpstr>Fahrtstrecke</vt:lpstr>
      <vt:lpstr>GeburtsdatumJM</vt:lpstr>
      <vt:lpstr>JungerMensch</vt:lpstr>
      <vt:lpstr>kmPauschale</vt:lpstr>
      <vt:lpstr>kmPauschale2</vt:lpstr>
      <vt:lpstr>kmPauschale2JahrBis</vt:lpstr>
      <vt:lpstr>kmPauschale2JahrVon</vt:lpstr>
      <vt:lpstr>kmPauschale3</vt:lpstr>
      <vt:lpstr>kmPauschale3JahrBis</vt:lpstr>
      <vt:lpstr>kmPauschale3JahrVon</vt:lpstr>
      <vt:lpstr>Kostenbeitragspflichtiger</vt:lpstr>
      <vt:lpstr>MaßgeblEinkGruppe</vt:lpstr>
      <vt:lpstr>MaßgeblEinkommen</vt:lpstr>
      <vt:lpstr>Standardanzahl_Arbeitstage</vt:lpstr>
      <vt:lpstr>VorlEinkGruppeBez</vt:lpstr>
      <vt:lpstr>VorlEinkommensgruppe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2019-09-10T13:51:01Z</cp:lastPrinted>
  <dcterms:created xsi:type="dcterms:W3CDTF">2019-04-12T15:09:00Z</dcterms:created>
  <dcterms:modified xsi:type="dcterms:W3CDTF">2024-03-22T10:24:57Z</dcterms:modified>
</cp:coreProperties>
</file>