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https://d.docs.live.net/58af4e7e9cc90500/Dokumente/Meine Websites/kostenbeitrag.de/images/Berechnungsvorlagen/"/>
    </mc:Choice>
  </mc:AlternateContent>
  <xr:revisionPtr revIDLastSave="813" documentId="11_68EB0F0ECA681DD55C1F82F02CA033AF38E0A2B0" xr6:coauthVersionLast="47" xr6:coauthVersionMax="47" xr10:uidLastSave="{099DAF67-44A4-4FC4-884C-E97DD4E42546}"/>
  <bookViews>
    <workbookView xWindow="-108" yWindow="-108" windowWidth="23256" windowHeight="12456" xr2:uid="{00000000-000D-0000-FFFF-FFFF00000000}"/>
  </bookViews>
  <sheets>
    <sheet name="Berechnung" sheetId="1" r:id="rId1"/>
    <sheet name="Beiblatt Selbständige" sheetId="5" r:id="rId2"/>
    <sheet name="Auswahlwerte" sheetId="2" state="hidden" r:id="rId3"/>
    <sheet name="Parameter" sheetId="4" state="hidden" r:id="rId4"/>
  </sheets>
  <definedNames>
    <definedName name="Arbeitsmittelpauschale">Parameter!$C$5</definedName>
    <definedName name="BeginnmonatMutter">Auswahlwerte!$A$9</definedName>
    <definedName name="BeginnmonatVater">Auswahlwerte!$A$17</definedName>
    <definedName name="BereinigtesEinkommenGesamt">Berechnung!$N$99</definedName>
    <definedName name="_xlnm.Print_Area" localSheetId="1">'Beiblatt Selbständige'!$B$2:$N$61</definedName>
    <definedName name="_xlnm.Print_Area" localSheetId="0">Berechnung!$B$2:$N$138</definedName>
    <definedName name="EinkommenMutterBis">Berechnung!$G$16</definedName>
    <definedName name="EinkommenMutterVon">Berechnung!$F$16</definedName>
    <definedName name="EinkommensbetragsfeldMutter">Berechnung!$I$16</definedName>
    <definedName name="EinkommensbetragsfeldVater">Berechnung!$N$16</definedName>
    <definedName name="Einkommensgrenze">Berechnung!$N$111</definedName>
    <definedName name="EinkommenVaterBis">Berechnung!$L$16</definedName>
    <definedName name="EinkommenVaterVon">Berechnung!$K$16</definedName>
    <definedName name="EinkSelbständigkeitMutter">'Beiblatt Selbständige'!$I$52</definedName>
    <definedName name="EinkSelbständigkeitVater">'Beiblatt Selbständige'!$N$52</definedName>
    <definedName name="Familienzuschlag">Parameter!$C$13</definedName>
    <definedName name="GrundbetragAntragsteller">Parameter!$C$11</definedName>
    <definedName name="kmPauschale">Parameter!$C$3</definedName>
    <definedName name="Leistungsbeginn">Berechnung!$K$6</definedName>
    <definedName name="Leistungsende">Berechnung!$N$6</definedName>
    <definedName name="MaxbetragDoppelterHH">Parameter!$C$6</definedName>
    <definedName name="MaxPKW">Parameter!$C$4</definedName>
    <definedName name="RBS">Parameter!$D$18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135" i="1" l="1"/>
  <c r="N130" i="1"/>
  <c r="N88" i="1"/>
  <c r="I88" i="1"/>
  <c r="C34" i="2"/>
  <c r="N89" i="1" s="1"/>
  <c r="L89" i="1"/>
  <c r="L83" i="1"/>
  <c r="L76" i="1"/>
  <c r="K76" i="1"/>
  <c r="L73" i="1"/>
  <c r="G83" i="1"/>
  <c r="C33" i="2"/>
  <c r="I89" i="1" s="1"/>
  <c r="F76" i="1"/>
  <c r="B108" i="1"/>
  <c r="B106" i="1"/>
  <c r="G76" i="1"/>
  <c r="C4" i="4"/>
  <c r="D107" i="1"/>
  <c r="F93" i="1"/>
  <c r="K93" i="1"/>
  <c r="K67" i="1"/>
  <c r="F67" i="1"/>
  <c r="K51" i="1"/>
  <c r="F51" i="1"/>
  <c r="F38" i="1"/>
  <c r="K38" i="1"/>
  <c r="P16" i="1"/>
  <c r="P15" i="1"/>
  <c r="P8" i="1"/>
  <c r="P9" i="1"/>
  <c r="P12" i="1"/>
  <c r="P14" i="1"/>
  <c r="N3" i="5"/>
  <c r="C121" i="1"/>
  <c r="P93" i="1"/>
  <c r="G89" i="1"/>
  <c r="K97" i="1"/>
  <c r="F97" i="1"/>
  <c r="K98" i="1" s="1"/>
  <c r="N34" i="1"/>
  <c r="N57" i="1" s="1"/>
  <c r="I34" i="1"/>
  <c r="G73" i="1"/>
  <c r="K9" i="5"/>
  <c r="F9" i="5"/>
  <c r="B9" i="5"/>
  <c r="I12" i="5" s="1"/>
  <c r="N6" i="5"/>
  <c r="K6" i="5"/>
  <c r="F6" i="5"/>
  <c r="B6" i="5"/>
  <c r="K33" i="1"/>
  <c r="F33" i="1"/>
  <c r="P138" i="1"/>
  <c r="P137" i="1"/>
  <c r="B137" i="1"/>
  <c r="K34" i="1"/>
  <c r="F34" i="1"/>
  <c r="N52" i="5"/>
  <c r="I52" i="5"/>
  <c r="N91" i="1"/>
  <c r="I91" i="1"/>
  <c r="N64" i="1"/>
  <c r="I64" i="1"/>
  <c r="N59" i="1"/>
  <c r="I59" i="1"/>
  <c r="N49" i="1"/>
  <c r="I49" i="1"/>
  <c r="N36" i="1"/>
  <c r="I36" i="1"/>
  <c r="N31" i="1"/>
  <c r="I31" i="1"/>
  <c r="N12" i="1"/>
  <c r="I12" i="1"/>
  <c r="G62" i="1"/>
  <c r="K3" i="5"/>
  <c r="I76" i="1" l="1"/>
  <c r="I83" i="1"/>
  <c r="N69" i="1"/>
  <c r="N76" i="1"/>
  <c r="N78" i="1"/>
  <c r="N79" i="1"/>
  <c r="N85" i="1"/>
  <c r="N83" i="1"/>
  <c r="I78" i="1"/>
  <c r="I79" i="1"/>
  <c r="I85" i="1"/>
  <c r="I69" i="1"/>
  <c r="N75" i="1"/>
  <c r="I75" i="1"/>
  <c r="N12" i="5"/>
  <c r="L62" i="1"/>
  <c r="L101" i="1"/>
  <c r="L114" i="1"/>
  <c r="L124" i="1"/>
  <c r="L128" i="1"/>
  <c r="C18" i="4" l="1"/>
  <c r="B18" i="4"/>
  <c r="G27" i="4" s="1"/>
  <c r="I27" i="4" s="1"/>
  <c r="H33" i="4"/>
  <c r="F33" i="4"/>
  <c r="E33" i="4"/>
  <c r="H32" i="4"/>
  <c r="F32" i="4"/>
  <c r="E32" i="4"/>
  <c r="H31" i="4"/>
  <c r="F31" i="4"/>
  <c r="E31" i="4"/>
  <c r="H30" i="4"/>
  <c r="F30" i="4"/>
  <c r="E30" i="4"/>
  <c r="H29" i="4"/>
  <c r="F29" i="4"/>
  <c r="E29" i="4"/>
  <c r="H28" i="4"/>
  <c r="F28" i="4"/>
  <c r="E28" i="4"/>
  <c r="H27" i="4"/>
  <c r="F27" i="4"/>
  <c r="E27" i="4"/>
  <c r="H26" i="4"/>
  <c r="F26" i="4"/>
  <c r="E26" i="4"/>
  <c r="H25" i="4"/>
  <c r="F25" i="4"/>
  <c r="E25" i="4"/>
  <c r="H24" i="4"/>
  <c r="F24" i="4"/>
  <c r="E24" i="4"/>
  <c r="H23" i="4"/>
  <c r="F23" i="4"/>
  <c r="E23" i="4"/>
  <c r="H22" i="4"/>
  <c r="F22" i="4"/>
  <c r="E22" i="4"/>
  <c r="H21" i="4"/>
  <c r="F21" i="4"/>
  <c r="E21" i="4"/>
  <c r="I57" i="1"/>
  <c r="F62" i="1" s="1"/>
  <c r="I62" i="1" l="1"/>
  <c r="I97" i="1" s="1"/>
  <c r="K62" i="1"/>
  <c r="N62" i="1"/>
  <c r="N97" i="1" s="1"/>
  <c r="G24" i="4"/>
  <c r="I24" i="4" s="1"/>
  <c r="G32" i="4"/>
  <c r="I32" i="4" s="1"/>
  <c r="G21" i="4"/>
  <c r="G29" i="4"/>
  <c r="I29" i="4" s="1"/>
  <c r="G26" i="4"/>
  <c r="I26" i="4" s="1"/>
  <c r="G28" i="4"/>
  <c r="I28" i="4" s="1"/>
  <c r="G25" i="4"/>
  <c r="I25" i="4" s="1"/>
  <c r="G33" i="4"/>
  <c r="I33" i="4" s="1"/>
  <c r="G22" i="4"/>
  <c r="I22" i="4" s="1"/>
  <c r="G30" i="4"/>
  <c r="I30" i="4" s="1"/>
  <c r="G23" i="4"/>
  <c r="I23" i="4" s="1"/>
  <c r="G31" i="4"/>
  <c r="I31" i="4" s="1"/>
  <c r="N98" i="1" l="1"/>
  <c r="N99" i="1" s="1"/>
  <c r="H112" i="1" s="1"/>
  <c r="I21" i="4"/>
  <c r="I18" i="4" s="1"/>
  <c r="D18" i="4"/>
  <c r="B104" i="1" s="1"/>
  <c r="B103" i="1" l="1"/>
  <c r="C13" i="4"/>
  <c r="N106" i="1" s="1"/>
  <c r="C11" i="4"/>
  <c r="N103" i="1" s="1"/>
  <c r="N105" i="1" l="1"/>
  <c r="N107" i="1"/>
  <c r="L108" i="1" s="1"/>
  <c r="L61" i="1"/>
  <c r="G61" i="1"/>
  <c r="H29" i="1"/>
  <c r="H28" i="1"/>
  <c r="H27" i="1"/>
  <c r="H26" i="1"/>
  <c r="H25" i="1"/>
  <c r="H24" i="1"/>
  <c r="H23" i="1"/>
  <c r="H22" i="1"/>
  <c r="H21" i="1"/>
  <c r="H20" i="1"/>
  <c r="H19" i="1"/>
  <c r="H18" i="1"/>
  <c r="A9" i="2"/>
  <c r="I10" i="2" s="1"/>
  <c r="F23" i="1" s="1"/>
  <c r="E20" i="2"/>
  <c r="F20" i="2"/>
  <c r="G20" i="2"/>
  <c r="H20" i="2"/>
  <c r="I20" i="2"/>
  <c r="J20" i="2"/>
  <c r="K20" i="2"/>
  <c r="L20" i="2"/>
  <c r="M20" i="2"/>
  <c r="M27" i="1" s="1"/>
  <c r="N20" i="2"/>
  <c r="O20" i="2"/>
  <c r="E21" i="2"/>
  <c r="F21" i="2"/>
  <c r="G21" i="2"/>
  <c r="H21" i="2"/>
  <c r="I21" i="2"/>
  <c r="M23" i="1" s="1"/>
  <c r="J21" i="2"/>
  <c r="K21" i="2"/>
  <c r="L21" i="2"/>
  <c r="M21" i="2"/>
  <c r="N21" i="2"/>
  <c r="O21" i="2"/>
  <c r="E22" i="2"/>
  <c r="M19" i="1" s="1"/>
  <c r="F22" i="2"/>
  <c r="G22" i="2"/>
  <c r="H22" i="2"/>
  <c r="I22" i="2"/>
  <c r="J22" i="2"/>
  <c r="K22" i="2"/>
  <c r="L22" i="2"/>
  <c r="M22" i="2"/>
  <c r="N22" i="2"/>
  <c r="O22" i="2"/>
  <c r="D21" i="2"/>
  <c r="M18" i="1" s="1"/>
  <c r="D22" i="2"/>
  <c r="D20" i="2"/>
  <c r="A17" i="2"/>
  <c r="K18" i="2" s="1"/>
  <c r="E16" i="2"/>
  <c r="F16" i="2"/>
  <c r="G16" i="2"/>
  <c r="H16" i="2"/>
  <c r="I16" i="2"/>
  <c r="J16" i="2"/>
  <c r="K16" i="2"/>
  <c r="L16" i="2"/>
  <c r="M16" i="2"/>
  <c r="N16" i="2"/>
  <c r="O16" i="2"/>
  <c r="E17" i="2"/>
  <c r="F17" i="2"/>
  <c r="G17" i="2"/>
  <c r="H17" i="2"/>
  <c r="I17" i="2"/>
  <c r="J17" i="2"/>
  <c r="K17" i="2"/>
  <c r="L17" i="2"/>
  <c r="M17" i="2"/>
  <c r="N17" i="2"/>
  <c r="O17" i="2"/>
  <c r="D17" i="2"/>
  <c r="D16" i="2"/>
  <c r="N111" i="1" l="1"/>
  <c r="M29" i="1"/>
  <c r="M21" i="1"/>
  <c r="M24" i="1"/>
  <c r="J10" i="2"/>
  <c r="F24" i="1" s="1"/>
  <c r="M18" i="2"/>
  <c r="K10" i="2"/>
  <c r="F25" i="1" s="1"/>
  <c r="F18" i="2"/>
  <c r="N18" i="2"/>
  <c r="L10" i="2"/>
  <c r="F26" i="1" s="1"/>
  <c r="L18" i="2"/>
  <c r="G18" i="2"/>
  <c r="O18" i="2"/>
  <c r="M10" i="2"/>
  <c r="F27" i="1" s="1"/>
  <c r="H18" i="2"/>
  <c r="F10" i="2"/>
  <c r="F20" i="1" s="1"/>
  <c r="N10" i="2"/>
  <c r="F28" i="1" s="1"/>
  <c r="I18" i="2"/>
  <c r="G10" i="2"/>
  <c r="F21" i="1" s="1"/>
  <c r="O10" i="2"/>
  <c r="F29" i="1" s="1"/>
  <c r="J18" i="2"/>
  <c r="H10" i="2"/>
  <c r="F22" i="1" s="1"/>
  <c r="M28" i="1"/>
  <c r="M20" i="1"/>
  <c r="M25" i="1"/>
  <c r="D10" i="2"/>
  <c r="F18" i="1" s="1"/>
  <c r="M26" i="1"/>
  <c r="E10" i="2"/>
  <c r="F19" i="1" s="1"/>
  <c r="K25" i="1"/>
  <c r="D18" i="2"/>
  <c r="M22" i="1"/>
  <c r="E18" i="2"/>
  <c r="N112" i="1" l="1"/>
  <c r="N120" i="1" s="1"/>
  <c r="N121" i="1" s="1"/>
  <c r="N122" i="1" s="1"/>
  <c r="K112" i="1"/>
  <c r="K26" i="1"/>
  <c r="K23" i="1"/>
  <c r="K28" i="1"/>
  <c r="K19" i="1"/>
  <c r="K20" i="1"/>
  <c r="K22" i="1"/>
  <c r="K27" i="1"/>
  <c r="K21" i="1"/>
  <c r="K18" i="1"/>
  <c r="K24" i="1"/>
  <c r="K29" i="1"/>
  <c r="D121" i="1" l="1"/>
</calcChain>
</file>

<file path=xl/sharedStrings.xml><?xml version="1.0" encoding="utf-8"?>
<sst xmlns="http://schemas.openxmlformats.org/spreadsheetml/2006/main" count="510" uniqueCount="228">
  <si>
    <t>Name des Kindes</t>
  </si>
  <si>
    <t>Einkommen aus nichtselbständiger Tätigkeit</t>
  </si>
  <si>
    <t>Name der Mutter</t>
  </si>
  <si>
    <t>Zu berücksichtigende Elternteile</t>
  </si>
  <si>
    <t>Auswahlfeld</t>
  </si>
  <si>
    <t>Optionen</t>
  </si>
  <si>
    <t>Auswahl...</t>
  </si>
  <si>
    <t>Mutter</t>
  </si>
  <si>
    <t>Vater</t>
  </si>
  <si>
    <t>Name des Vaters</t>
  </si>
  <si>
    <t>Optionswert</t>
  </si>
  <si>
    <t>Beide Elternteile</t>
  </si>
  <si>
    <t>Einkommenszeitraum</t>
  </si>
  <si>
    <t>von</t>
  </si>
  <si>
    <t>bis</t>
  </si>
  <si>
    <t>Jahresbeträge</t>
  </si>
  <si>
    <t>Einkommensbeträge Mutter</t>
  </si>
  <si>
    <t>Monatsbeträge</t>
  </si>
  <si>
    <t>Bruttoeinkommen</t>
  </si>
  <si>
    <t>Sonstiges Erwerbseinkommen</t>
  </si>
  <si>
    <t>Lohn-/Einkommensteuer</t>
  </si>
  <si>
    <t>Einkommensbeträge Vater</t>
  </si>
  <si>
    <t>Solidaritätszuschlag</t>
  </si>
  <si>
    <t>Kirchensteuer</t>
  </si>
  <si>
    <t>Krankenversicherung</t>
  </si>
  <si>
    <t>Pflegeversicherung</t>
  </si>
  <si>
    <t>Rentenversicherung</t>
  </si>
  <si>
    <t>Arbeitslosenversicherung</t>
  </si>
  <si>
    <t>Sonstiger Abzug</t>
  </si>
  <si>
    <t>Leistung von</t>
  </si>
  <si>
    <t>Leistung bis</t>
  </si>
  <si>
    <t>...</t>
  </si>
  <si>
    <t>Operand Mutter</t>
  </si>
  <si>
    <t>+</t>
  </si>
  <si>
    <t xml:space="preserve"> </t>
  </si>
  <si>
    <t>./.</t>
  </si>
  <si>
    <t>Betragsart</t>
  </si>
  <si>
    <t>Operand Vater</t>
  </si>
  <si>
    <t>Urlaubsgeld</t>
  </si>
  <si>
    <t>Sonderzuwendungen</t>
  </si>
  <si>
    <t>Weihnachtsgeld</t>
  </si>
  <si>
    <t>Kindergeld</t>
  </si>
  <si>
    <t>Sonstige Sozialleistungen</t>
  </si>
  <si>
    <t>Monatsbetrag</t>
  </si>
  <si>
    <t>Durchschnittliches Monatseinkommen</t>
  </si>
  <si>
    <t>=</t>
  </si>
  <si>
    <t>Gesamtbetrag</t>
  </si>
  <si>
    <t>Geburtsdatum</t>
  </si>
  <si>
    <t>Erläuterungen</t>
  </si>
  <si>
    <t>Hinweise für die Sachbearbeitung</t>
  </si>
  <si>
    <t>Felder für die Eingabe von Jahressummen oder mtl. Nettoeinkünften</t>
  </si>
  <si>
    <t>zu erhalten.</t>
  </si>
  <si>
    <t>negativem Vorzeichen ein. Die Berechnung (Abzug oder Addition)</t>
  </si>
  <si>
    <t>richtet sich nach der Auswahl der Betragsart.</t>
  </si>
  <si>
    <t>Gelb hinterlegte Felder sind Pflichtfelder</t>
  </si>
  <si>
    <t>www.kostenbeitrag.de</t>
  </si>
  <si>
    <t>achten Sie darauf, zuvor eingegebene Beträge nicht ungeprüft</t>
  </si>
  <si>
    <t>stehen zu lassen.</t>
  </si>
  <si>
    <t>Weitere mögliche Einkunftsarten entnehmen Sie bitte den</t>
  </si>
  <si>
    <t>Empfehlungen zur Berechnung.</t>
  </si>
  <si>
    <r>
      <t xml:space="preserve">Wählen Sie bei beiden Elternteilen die </t>
    </r>
    <r>
      <rPr>
        <b/>
        <sz val="10"/>
        <color theme="3"/>
        <rFont val="Arial"/>
        <family val="2"/>
      </rPr>
      <t>Betragsart</t>
    </r>
    <r>
      <rPr>
        <sz val="10"/>
        <color theme="3"/>
        <rFont val="Arial"/>
        <family val="2"/>
      </rPr>
      <t xml:space="preserve"> aus, um</t>
    </r>
  </si>
  <si>
    <r>
      <t xml:space="preserve">Wenn Sie die Auswahl bei </t>
    </r>
    <r>
      <rPr>
        <b/>
        <sz val="10"/>
        <color theme="3"/>
        <rFont val="Arial"/>
        <family val="2"/>
      </rPr>
      <t>Betragsart</t>
    </r>
    <r>
      <rPr>
        <sz val="10"/>
        <color theme="3"/>
        <rFont val="Arial"/>
        <family val="2"/>
      </rPr>
      <t xml:space="preserve"> nachträglich ändern,</t>
    </r>
  </si>
  <si>
    <r>
      <t xml:space="preserve">Geben Sie abzusetzende Beträge (Steuern, etc.) </t>
    </r>
    <r>
      <rPr>
        <b/>
        <sz val="10"/>
        <color theme="3"/>
        <rFont val="Arial"/>
        <family val="2"/>
      </rPr>
      <t>nicht</t>
    </r>
    <r>
      <rPr>
        <sz val="10"/>
        <color theme="3"/>
        <rFont val="Arial"/>
        <family val="2"/>
      </rPr>
      <t xml:space="preserve"> mit</t>
    </r>
  </si>
  <si>
    <r>
      <t xml:space="preserve">Im Feld </t>
    </r>
    <r>
      <rPr>
        <b/>
        <sz val="10"/>
        <color theme="3"/>
        <rFont val="Arial"/>
        <family val="2"/>
      </rPr>
      <t>Erläuterungen</t>
    </r>
    <r>
      <rPr>
        <sz val="10"/>
        <color theme="3"/>
        <rFont val="Arial"/>
        <family val="2"/>
      </rPr>
      <t xml:space="preserve"> können Sie </t>
    </r>
    <r>
      <rPr>
        <i/>
        <sz val="10"/>
        <color theme="3"/>
        <rFont val="Arial"/>
        <family val="2"/>
      </rPr>
      <t xml:space="preserve">Sonstige Erwerbseinkommen </t>
    </r>
  </si>
  <si>
    <r>
      <t xml:space="preserve">oder </t>
    </r>
    <r>
      <rPr>
        <i/>
        <sz val="10"/>
        <color theme="3"/>
        <rFont val="Arial"/>
        <family val="2"/>
      </rPr>
      <t>Sonstige Abzüge</t>
    </r>
    <r>
      <rPr>
        <sz val="10"/>
        <color theme="3"/>
        <rFont val="Arial"/>
        <family val="2"/>
      </rPr>
      <t xml:space="preserve"> näher erläutern.</t>
    </r>
  </si>
  <si>
    <r>
      <t xml:space="preserve">Nebenstehende Einkommensarten sind </t>
    </r>
    <r>
      <rPr>
        <b/>
        <sz val="10"/>
        <color theme="3"/>
        <rFont val="Arial"/>
        <family val="2"/>
      </rPr>
      <t>Vorschläge.</t>
    </r>
    <r>
      <rPr>
        <sz val="10"/>
        <color theme="3"/>
        <rFont val="Arial"/>
        <family val="2"/>
      </rPr>
      <t xml:space="preserve"> </t>
    </r>
  </si>
  <si>
    <r>
      <t xml:space="preserve">Geben Sie nebenstehend </t>
    </r>
    <r>
      <rPr>
        <b/>
        <sz val="10"/>
        <color theme="3"/>
        <rFont val="Arial"/>
        <family val="2"/>
      </rPr>
      <t>Jahresbeträge</t>
    </r>
    <r>
      <rPr>
        <sz val="10"/>
        <color theme="3"/>
        <rFont val="Arial"/>
        <family val="2"/>
      </rPr>
      <t xml:space="preserve"> ein und nutzen Sie</t>
    </r>
  </si>
  <si>
    <t>Aktenzeichen</t>
  </si>
  <si>
    <t>Datum</t>
  </si>
  <si>
    <r>
      <t xml:space="preserve">Die Aufzählung ist </t>
    </r>
    <r>
      <rPr>
        <b/>
        <sz val="10"/>
        <color theme="3"/>
        <rFont val="Arial"/>
        <family val="2"/>
      </rPr>
      <t>nicht</t>
    </r>
    <r>
      <rPr>
        <sz val="10"/>
        <color theme="3"/>
        <rFont val="Arial"/>
        <family val="2"/>
      </rPr>
      <t xml:space="preserve"> abschließend!</t>
    </r>
  </si>
  <si>
    <t>Einkommen aus selbständiger Tätigkeit</t>
  </si>
  <si>
    <t>Maßgebliches Gesamteinkommen</t>
  </si>
  <si>
    <t>Einkünfte aus selbständiger Tätigkeit erfassen Sie bitte im</t>
  </si>
  <si>
    <t>Beiblatt Selbständige</t>
  </si>
  <si>
    <t>Elternteile im Haushalt des Kindes</t>
  </si>
  <si>
    <t>PKW: Wohnung &gt; Arbeitsstätte</t>
  </si>
  <si>
    <t>Arbeitsmittel</t>
  </si>
  <si>
    <t>Nachgewiesen</t>
  </si>
  <si>
    <t>ÖPNV-Kosten</t>
  </si>
  <si>
    <t>Doppelte Haushaltsführung</t>
  </si>
  <si>
    <t>Maximalbetrag</t>
  </si>
  <si>
    <t xml:space="preserve">ÖPNV-Kosten sind in nachgewiesener Höhe anzuerkennen. </t>
  </si>
  <si>
    <t>Aufwendungen für beruflich bedingte doppelte Haushaltsführung</t>
  </si>
  <si>
    <t>werden bis zum Maixmalbetrag anerkannt.</t>
  </si>
  <si>
    <t>Sonstige Versicherung</t>
  </si>
  <si>
    <t>13. Gehalt / zusätzl.Gehälter</t>
  </si>
  <si>
    <t>Unterhalt/Unterhaltsvorschuss</t>
  </si>
  <si>
    <t>das Feld links für Erläuterungen z.B. zu den berücksichtigten</t>
  </si>
  <si>
    <t>weiteren Sozialleistungen.</t>
  </si>
  <si>
    <t xml:space="preserve">Ohne Nachweis höherer Kosten wird die mtl. Pauschale
für Arbeitsmittel anerkannt. </t>
  </si>
  <si>
    <t>Beiträge für Berufsverbände werden in angemessener Höhe anerkannt.</t>
  </si>
  <si>
    <t>Bereinigtes Einkommen</t>
  </si>
  <si>
    <t>Bereinigtes Einkommen gesamt</t>
  </si>
  <si>
    <t>Berechnungsparameter</t>
  </si>
  <si>
    <t>Betrag</t>
  </si>
  <si>
    <t>km-Pauschale</t>
  </si>
  <si>
    <t>Legende</t>
  </si>
  <si>
    <t>Formeln erweitern</t>
  </si>
  <si>
    <t>Arbeitsmittelpauschale</t>
  </si>
  <si>
    <t>Parameter aktualisieren</t>
  </si>
  <si>
    <t>Maximalbetrag dopp. HH-Führung</t>
  </si>
  <si>
    <t>Maximalsatz Altersvorsorge</t>
  </si>
  <si>
    <t>%</t>
  </si>
  <si>
    <t>Pauschalsatz sonstige Versicherungen</t>
  </si>
  <si>
    <t>Grundbetrag Antragsteller</t>
  </si>
  <si>
    <t>(zweifacher Regelbedarfssatz)</t>
  </si>
  <si>
    <t>Familienzuschlag</t>
  </si>
  <si>
    <t>(70% des Regelbedarfssatzes, aufgerundet)</t>
  </si>
  <si>
    <t>Freilassung Eink. über EinkGrenze</t>
  </si>
  <si>
    <t>Maximum:</t>
  </si>
  <si>
    <t>Datumswert der Berechnung</t>
  </si>
  <si>
    <t>Regelbedarfssatztabelle</t>
  </si>
  <si>
    <t>Wert von</t>
  </si>
  <si>
    <t>Wert bis</t>
  </si>
  <si>
    <t>gültig</t>
  </si>
  <si>
    <t>maximal bis</t>
  </si>
  <si>
    <t>Regelbedarfssatz bis 31.12.2010</t>
  </si>
  <si>
    <t>31.12.2010</t>
  </si>
  <si>
    <t>Regelbedarfssatz ab 01.01.2011</t>
  </si>
  <si>
    <t>01.01.2011</t>
  </si>
  <si>
    <t>Regelbedarfssatz ab 01.01.2012</t>
  </si>
  <si>
    <t>Regelbedarfssatz ab 01.01.2013</t>
  </si>
  <si>
    <t>Regelbedarfssatz ab 01.01.2014</t>
  </si>
  <si>
    <t>Regelbedarfssatz ab 01.01.2015</t>
  </si>
  <si>
    <t>Regelbedarfssatz ab 01.01.2016</t>
  </si>
  <si>
    <t>Regelbedarfssatz ab 01.01.2017</t>
  </si>
  <si>
    <t>Regelbedarfssatz ab 01.01.2018</t>
  </si>
  <si>
    <t>Regelbedarfssatz ab 01.01.2019</t>
  </si>
  <si>
    <t>Regelbedarfssatz ab 01.01.2020</t>
  </si>
  <si>
    <t>Regelbedarfssatz ab 01.01.2021</t>
  </si>
  <si>
    <t>Regelbedarfssatz ab 01.01.2022</t>
  </si>
  <si>
    <t>c) für</t>
  </si>
  <si>
    <t xml:space="preserve">Kosten der Unterkunft (Kaltmiete / Zinslast bei Eigentum, Nebenkosten ohne Strom) </t>
  </si>
  <si>
    <t>Einkommensgrenze</t>
  </si>
  <si>
    <t>Verbleibender Betrag</t>
  </si>
  <si>
    <t>Verfügbares Einkommen über der Einkommensgrenze</t>
  </si>
  <si>
    <t>Besondere Belastungen, soweit nach Grund und Höhe angemessen</t>
  </si>
  <si>
    <t>Besondere Belastung</t>
  </si>
  <si>
    <t>Einzusetzendes Einkommen über der Einkommensgrenze</t>
  </si>
  <si>
    <t>Freizulassen</t>
  </si>
  <si>
    <t>Einkommen unter der Einkommensgrenze ist im Rahmen von § 90 Absatz 3 SGB VIII nicht einzusetzen.</t>
  </si>
  <si>
    <t>Anderweitig erhaltene Betreuungszuschüsse / zweckgleiche Leistungen</t>
  </si>
  <si>
    <t>Durchschnitt im o.g. Zeitraum</t>
  </si>
  <si>
    <t>Pro-Kopf-Anteile nicht überwiegend unterhaltener Haushaltsangehöriger an Unterkunft</t>
  </si>
  <si>
    <t>Altersvorsorge / sonstige Versicherungen</t>
  </si>
  <si>
    <t>Oben unberücksichtigte Sozialversicherungsbeiträge</t>
  </si>
  <si>
    <t>Oben unberücksichtigte weitere Einkünfte</t>
  </si>
  <si>
    <t>Gesamteinkommen der berechneten Eltern(teile)</t>
  </si>
  <si>
    <t>Weitere Personen, die v. d. berechneten Eltern(teilen) überwiegend
unterhalten werden, deren eigene Einkünfte sind unter d) abzusetzen.</t>
  </si>
  <si>
    <r>
      <t xml:space="preserve">Miet-/Wohnkostenanteil sonstiger Personen, die v. d. berechneten
Elternteilen </t>
    </r>
    <r>
      <rPr>
        <b/>
        <sz val="10"/>
        <color theme="3"/>
        <rFont val="Arial"/>
        <family val="2"/>
      </rPr>
      <t>nicht</t>
    </r>
    <r>
      <rPr>
        <sz val="10"/>
        <color theme="3"/>
        <rFont val="Arial"/>
        <family val="2"/>
      </rPr>
      <t xml:space="preserve"> überwiegend unterhalten werden.</t>
    </r>
  </si>
  <si>
    <t>Schuldverpflichtungen, Unterhalt für haushaltsferne Kinder, etc. - siehe</t>
  </si>
  <si>
    <t>Kosten der Unterkunft: siehe Empfehlungen zur Berechnung.</t>
  </si>
  <si>
    <t>Freilassung des Einkommens über der Einkommensgrenze idR 50%</t>
  </si>
  <si>
    <t>siehe Empfehlungen zur Berechnung.</t>
  </si>
  <si>
    <t>Berufsbedingte Aufwendungen - DVO zu § 82 SGB XII</t>
  </si>
  <si>
    <t>Ermittlung der Einkommensgrenze - § 85 SGB XII</t>
  </si>
  <si>
    <t>Einsatz des Einkommens über der Einkommensgrenze - § 87 SGB XII</t>
  </si>
  <si>
    <t>Einsatz des Einkommens unter der Einkommensgrenze - § 88 SGB XII</t>
  </si>
  <si>
    <t>Der gültige Regelsatz ergibt sich aus dem o.a. Datum "Leistung von".</t>
  </si>
  <si>
    <t>Betrag nach Auswahl der im Haushalt des Kindes lebenden Elternteile</t>
  </si>
  <si>
    <t>sonst:pauschal</t>
  </si>
  <si>
    <t>Entfernung  km</t>
  </si>
  <si>
    <t>Pauschale     x</t>
  </si>
  <si>
    <t>Lebens-/Riesterversicherung o.ä.</t>
  </si>
  <si>
    <t>Beiblatt</t>
  </si>
  <si>
    <t>Zugrunde liegendes Wirtschaftsjahr</t>
  </si>
  <si>
    <t>Wirtschaftsjahr Mutter</t>
  </si>
  <si>
    <t>vorläufig</t>
  </si>
  <si>
    <t>Wirtschaftsjahr Vater</t>
  </si>
  <si>
    <t>endgültig</t>
  </si>
  <si>
    <t>Betriebseinnahmen (vor Abzug notwendiger Betriebsausgaben)</t>
  </si>
  <si>
    <t>Einnahmen aus Vermietung und Verpachtung</t>
  </si>
  <si>
    <t>Einnahmen aus Kapitalvermögen</t>
  </si>
  <si>
    <t>Sonstige betriebliche Einnahmen</t>
  </si>
  <si>
    <t>Betriebliche Ausgaben</t>
  </si>
  <si>
    <t>Einkommensteuer</t>
  </si>
  <si>
    <t>Zinsabschlagsteuer</t>
  </si>
  <si>
    <t>Kapitalertragsteuer</t>
  </si>
  <si>
    <t>Bruttoeinnahmen im Wirtschaftsjahr</t>
  </si>
  <si>
    <t>Notwendige Betriebsausgaben im Wirtschaftsjahr</t>
  </si>
  <si>
    <t>Steuerliche Ausgaben für Wirtschaftsjahr</t>
  </si>
  <si>
    <t>Versicherungs-/Versorgungsausgaben im Wirtschaftsjahr</t>
  </si>
  <si>
    <t>Sonstiges</t>
  </si>
  <si>
    <t>Nach Grund/Höhe angemessene Beiträge (nicht für deren Angehörige) für</t>
  </si>
  <si>
    <t>Verbleibendes Jahreseinkommen des Wirtschaftsjahres</t>
  </si>
  <si>
    <t>(nur positive Beträge, kein Verlustausgleich)</t>
  </si>
  <si>
    <t xml:space="preserve">Berechnung ggf. vorhandener </t>
  </si>
  <si>
    <t>Einkünfte siehe Beiblatt</t>
  </si>
  <si>
    <t>Bemerkungen</t>
  </si>
  <si>
    <t>Wählen Sie jeweils aus, ob es sich um eine vorläufiges oder</t>
  </si>
  <si>
    <t>endgültiges Ergebnis des einzutragenden Wirtschaftsjahres handelt.</t>
  </si>
  <si>
    <t>Geben Sie ergänzend die Bezeichnung etwaiger sonstiger</t>
  </si>
  <si>
    <t>Betriebsausgaben ein.</t>
  </si>
  <si>
    <t>Quelle: Anlage V der Einkommensteuererklärung</t>
  </si>
  <si>
    <t>Quelle: (Vorläufige) Gewinnermittlung</t>
  </si>
  <si>
    <t>Quelle: Anlage KSO der Einkommensteuererklärung</t>
  </si>
  <si>
    <t>Geben Sie ergänzend die Bezeichnung etwaiger sonstiger Betriebseinnahmen ein.</t>
  </si>
  <si>
    <r>
      <t xml:space="preserve">Quelle: Bei vorläufigen Daten des Wirtschaftsjahres geschätzte Beträge oder Vorauszahlungen </t>
    </r>
    <r>
      <rPr>
        <b/>
        <sz val="10"/>
        <color theme="3"/>
        <rFont val="Arial"/>
        <family val="2"/>
      </rPr>
      <t>FÜR</t>
    </r>
    <r>
      <rPr>
        <sz val="10"/>
        <color theme="3"/>
        <rFont val="Arial"/>
        <family val="2"/>
      </rPr>
      <t xml:space="preserve"> das Wirtschaftsjahr, bei endgültigen Daten siehe Steuerbescheid FÜR das Wirtschaftsjahr.</t>
    </r>
  </si>
  <si>
    <t>Geben Sie Pflicht- oder freiwillige Beiträge zu Sozialversicherungen
ein, soweit diese anzuerkennen und nicht bereits weiter oben 
berücksichtigt sind. Achten Sie bei selbständig Tätigen darauf,
ggf. im Beiblatt erfasste Beiträge hier nicht erneut einzutragen.</t>
  </si>
  <si>
    <r>
      <t xml:space="preserve">Die Anzahl der Monate wird aus dem oben eingegebenen Ein-
kommenszeitraum als </t>
    </r>
    <r>
      <rPr>
        <b/>
        <sz val="10"/>
        <color theme="3"/>
        <rFont val="Arial"/>
        <family val="2"/>
      </rPr>
      <t>volle Monate</t>
    </r>
    <r>
      <rPr>
        <sz val="10"/>
        <color theme="3"/>
        <rFont val="Arial"/>
        <family val="2"/>
      </rPr>
      <t xml:space="preserve"> ermittelt. Sie können dies
mit einer anderen Zahl überschreiben, müssen diese bei späteren
Änderungen dann aber manuell anpassen!</t>
    </r>
  </si>
  <si>
    <r>
      <t xml:space="preserve">Einkommen unter der Einkommensgrenze ist </t>
    </r>
    <r>
      <rPr>
        <b/>
        <sz val="10"/>
        <color theme="3"/>
        <rFont val="Arial"/>
        <family val="2"/>
      </rPr>
      <t>nicht</t>
    </r>
    <r>
      <rPr>
        <sz val="10"/>
        <color theme="3"/>
        <rFont val="Arial"/>
        <family val="2"/>
      </rPr>
      <t xml:space="preserve"> einzusetzen.</t>
    </r>
  </si>
  <si>
    <t/>
  </si>
  <si>
    <t>Summe</t>
  </si>
  <si>
    <t>Weiß hinterlegte Felder sind optionale Eingabefelder</t>
  </si>
  <si>
    <t>Wirtschaftsjahr</t>
  </si>
  <si>
    <t>Altersvorsorge</t>
  </si>
  <si>
    <t>Quelle: Entsprechende Nachweise
Altersvorsorge max. 20% des steuerlichen Gewinns
Zusätzl. Altersvorsorge max. 4% des Bruttoeinkommens
Achten Sie darauf, dass hier erfasste Beträge in der Hauptberechnung nicht nochmals berücksichtigt werden.</t>
  </si>
  <si>
    <t>Zusätzliche Altersvorsorge</t>
  </si>
  <si>
    <t>Berufsständische Versorgungseinr.</t>
  </si>
  <si>
    <t>Arbeitstage    x</t>
  </si>
  <si>
    <t>Maximalsatz Fahrtkosten</t>
  </si>
  <si>
    <r>
      <t xml:space="preserve">Tage gesamt  </t>
    </r>
    <r>
      <rPr>
        <b/>
        <sz val="10"/>
        <color theme="1"/>
        <rFont val="Arial"/>
        <family val="2"/>
      </rPr>
      <t>÷</t>
    </r>
  </si>
  <si>
    <t>Für Pkw-Fahrten zur Arbeitsstätte wird die Pauschale je Entfernungs-
KM bis zum angegebenen Maximalbetrag anerkannt (inkl. Kfz-Steuer 
und Wiederbeschaffungskosten). Es sind Arbeitstage und Tage gesamt (Kalendertage) anzugeben, also z.B. 5 Arbeitstage von 7 Wochentagen.
Beiträge für Kfz-Haftpflicht- und Teilkaskoversicherung
sind bei Fahrten zur Arbeitsstätte anzuerkennen.</t>
  </si>
  <si>
    <t>a) für den anderen Elternteil, soweit nicht getrennt lebend</t>
  </si>
  <si>
    <t>Einkommen nichtselbständige Arbeit Mutter</t>
  </si>
  <si>
    <t>Einkommen nichtselbständige Arbeit Vater</t>
  </si>
  <si>
    <r>
      <t xml:space="preserve">Berufsbedingte Aufwendungen sind hier nur zu berücksichtigen, wenn Einkünfte aus </t>
    </r>
    <r>
      <rPr>
        <u/>
        <sz val="10"/>
        <rFont val="Arial"/>
        <family val="2"/>
      </rPr>
      <t>nicht</t>
    </r>
    <r>
      <rPr>
        <sz val="10"/>
        <rFont val="Arial"/>
        <family val="2"/>
      </rPr>
      <t>selbständiger Tätigkeit erzielt werden.</t>
    </r>
  </si>
  <si>
    <t>Kfz-Haftpflicht</t>
  </si>
  <si>
    <t>Kfz-Teilkasko</t>
  </si>
  <si>
    <t>Berufsverbände</t>
  </si>
  <si>
    <t>Stand der Berechnungsvorlage: 13.05.2022</t>
  </si>
  <si>
    <t>Kostenbeitrag gemä § 90 Absatz 4 SGB VIII</t>
  </si>
  <si>
    <t>für Eltern(teile) von Kindern in Kindertagespflege</t>
  </si>
  <si>
    <t>Kostenbeitrag</t>
  </si>
  <si>
    <t>Betreuungszuschuss / Zweckgleiche Leistungen</t>
  </si>
  <si>
    <t>Gemäß § 90 Absatz 4 SGB VIII zu zahlender Kostenbeitrag (zumutbarer Betrag)</t>
  </si>
  <si>
    <t>Zuschüsse zum Beitrag und zweckgleihe Leistungen, siehe</t>
  </si>
  <si>
    <t>Zu zahlender Kostenbeitrag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</si>
</sst>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0.00\ &quot;€&quot;;[Red]\-#,##0.00\ &quot;€&quot;"/>
    <numFmt numFmtId="164" formatCode="[$-407]mmm\ yyyy;@"/>
    <numFmt numFmtId="165" formatCode="#,##0.0_ ;[Red]\-#,##0.0\ "/>
    <numFmt numFmtId="166" formatCode="#,##0_ ;[Red]\-#,##0\ "/>
  </numFmts>
  <fonts count="36" x14ac:knownFonts="1">
    <font>
      <sz val="10"/>
      <color theme="1"/>
      <name val="Arial"/>
      <family val="2"/>
    </font>
    <font>
      <b/>
      <sz val="10"/>
      <color theme="1"/>
      <name val="Arial"/>
      <family val="2"/>
    </font>
    <font>
      <sz val="11"/>
      <color theme="1"/>
      <name val="Arial"/>
      <family val="2"/>
    </font>
    <font>
      <sz val="9"/>
      <color theme="1"/>
      <name val="Arial"/>
      <family val="2"/>
    </font>
    <font>
      <sz val="9"/>
      <color theme="1" tint="0.499984740745262"/>
      <name val="Arial"/>
      <family val="2"/>
    </font>
    <font>
      <sz val="10"/>
      <color theme="1" tint="0.499984740745262"/>
      <name val="Arial"/>
      <family val="2"/>
    </font>
    <font>
      <b/>
      <sz val="10"/>
      <name val="Arial"/>
      <family val="2"/>
    </font>
    <font>
      <sz val="10"/>
      <name val="Arial"/>
      <family val="2"/>
    </font>
    <font>
      <b/>
      <sz val="9"/>
      <color theme="1"/>
      <name val="Arial"/>
      <family val="2"/>
    </font>
    <font>
      <sz val="9"/>
      <name val="Arial"/>
      <family val="2"/>
    </font>
    <font>
      <b/>
      <sz val="10"/>
      <color theme="1" tint="0.499984740745262"/>
      <name val="Arial"/>
      <family val="2"/>
    </font>
    <font>
      <sz val="10"/>
      <color theme="8"/>
      <name val="Arial"/>
      <family val="2"/>
    </font>
    <font>
      <u/>
      <sz val="10"/>
      <color theme="10"/>
      <name val="Arial"/>
      <family val="2"/>
    </font>
    <font>
      <sz val="10"/>
      <color theme="3"/>
      <name val="Arial"/>
      <family val="2"/>
    </font>
    <font>
      <sz val="14"/>
      <color theme="3"/>
      <name val="Arial"/>
      <family val="2"/>
    </font>
    <font>
      <sz val="9"/>
      <color theme="3"/>
      <name val="Arial"/>
      <family val="2"/>
    </font>
    <font>
      <b/>
      <sz val="10"/>
      <color theme="3"/>
      <name val="Arial"/>
      <family val="2"/>
    </font>
    <font>
      <i/>
      <sz val="10"/>
      <color theme="3"/>
      <name val="Arial"/>
      <family val="2"/>
    </font>
    <font>
      <b/>
      <sz val="14"/>
      <color theme="1"/>
      <name val="Arial"/>
      <family val="2"/>
    </font>
    <font>
      <b/>
      <sz val="12"/>
      <color theme="1"/>
      <name val="Arial"/>
      <family val="2"/>
    </font>
    <font>
      <b/>
      <sz val="10"/>
      <color theme="0"/>
      <name val="Arial"/>
      <family val="2"/>
    </font>
    <font>
      <b/>
      <sz val="10"/>
      <color rgb="FFC00000"/>
      <name val="Arial"/>
      <family val="2"/>
    </font>
    <font>
      <b/>
      <sz val="10"/>
      <color rgb="FFFF0000"/>
      <name val="Arial"/>
      <family val="2"/>
    </font>
    <font>
      <b/>
      <sz val="11"/>
      <color theme="0"/>
      <name val="Arial"/>
      <family val="2"/>
    </font>
    <font>
      <b/>
      <sz val="12"/>
      <color theme="0"/>
      <name val="Arial"/>
      <family val="2"/>
    </font>
    <font>
      <sz val="12"/>
      <color theme="1"/>
      <name val="Arial"/>
      <family val="2"/>
    </font>
    <font>
      <sz val="12"/>
      <color theme="3"/>
      <name val="Arial"/>
      <family val="2"/>
    </font>
    <font>
      <b/>
      <sz val="9"/>
      <color theme="3"/>
      <name val="Arial"/>
      <family val="2"/>
    </font>
    <font>
      <b/>
      <i/>
      <sz val="10"/>
      <name val="Arial"/>
      <family val="2"/>
    </font>
    <font>
      <sz val="11"/>
      <name val="Arial"/>
      <family val="2"/>
    </font>
    <font>
      <b/>
      <sz val="14"/>
      <name val="Arial"/>
      <family val="2"/>
    </font>
    <font>
      <b/>
      <sz val="12"/>
      <name val="Arial"/>
      <family val="2"/>
    </font>
    <font>
      <b/>
      <sz val="9"/>
      <name val="Arial"/>
      <family val="2"/>
    </font>
    <font>
      <sz val="8"/>
      <name val="Arial"/>
      <family val="2"/>
    </font>
    <font>
      <sz val="10"/>
      <color rgb="FFFF0000"/>
      <name val="Arial"/>
      <family val="2"/>
    </font>
    <font>
      <u/>
      <sz val="10"/>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indexed="43"/>
        <bgColor indexed="64"/>
      </patternFill>
    </fill>
    <fill>
      <patternFill patternType="solid">
        <fgColor theme="9" tint="0.59999389629810485"/>
        <bgColor indexed="64"/>
      </patternFill>
    </fill>
    <fill>
      <patternFill patternType="solid">
        <fgColor theme="8"/>
        <bgColor indexed="64"/>
      </patternFill>
    </fill>
    <fill>
      <patternFill patternType="solid">
        <fgColor theme="0"/>
        <bgColor indexed="64"/>
      </patternFill>
    </fill>
    <fill>
      <patternFill patternType="solid">
        <fgColor rgb="FFFFFF66"/>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12" fillId="0" borderId="0" applyNumberFormat="0" applyFill="0" applyBorder="0" applyAlignment="0" applyProtection="0"/>
    <xf numFmtId="0" fontId="7" fillId="0" borderId="0"/>
  </cellStyleXfs>
  <cellXfs count="284">
    <xf numFmtId="0" fontId="0" fillId="0" borderId="0" xfId="0"/>
    <xf numFmtId="0" fontId="0" fillId="0" borderId="0" xfId="0" applyAlignment="1">
      <alignment vertical="center"/>
    </xf>
    <xf numFmtId="0" fontId="2" fillId="0" borderId="0" xfId="0" applyFont="1" applyAlignment="1">
      <alignment vertical="center"/>
    </xf>
    <xf numFmtId="0" fontId="3" fillId="0" borderId="0" xfId="0" applyFont="1" applyAlignment="1">
      <alignment vertical="center"/>
    </xf>
    <xf numFmtId="0" fontId="1" fillId="0" borderId="0" xfId="0" applyFont="1"/>
    <xf numFmtId="0" fontId="1" fillId="0" borderId="0" xfId="0" applyFont="1" applyAlignment="1">
      <alignment horizontal="center"/>
    </xf>
    <xf numFmtId="0" fontId="0" fillId="0" borderId="0" xfId="0" applyAlignment="1">
      <alignment horizontal="center"/>
    </xf>
    <xf numFmtId="0" fontId="6" fillId="0" borderId="0" xfId="0" applyFont="1" applyAlignment="1">
      <alignment vertical="center"/>
    </xf>
    <xf numFmtId="164" fontId="0" fillId="0" borderId="0" xfId="0" applyNumberFormat="1" applyAlignment="1">
      <alignment horizontal="left"/>
    </xf>
    <xf numFmtId="0" fontId="0" fillId="0" borderId="0" xfId="0" applyFont="1" applyAlignment="1">
      <alignment vertical="center"/>
    </xf>
    <xf numFmtId="0" fontId="11" fillId="0" borderId="0" xfId="0" applyFont="1" applyAlignment="1">
      <alignment vertical="center"/>
    </xf>
    <xf numFmtId="0" fontId="0" fillId="0" borderId="0" xfId="0" applyFill="1" applyAlignment="1">
      <alignment vertical="center"/>
    </xf>
    <xf numFmtId="0" fontId="0" fillId="0" borderId="0" xfId="0" applyFont="1" applyFill="1" applyAlignment="1">
      <alignment vertical="center"/>
    </xf>
    <xf numFmtId="0" fontId="0" fillId="0" borderId="0" xfId="0" applyAlignment="1">
      <alignment horizontal="right" vertical="center"/>
    </xf>
    <xf numFmtId="0" fontId="24" fillId="5" borderId="0" xfId="0" applyFont="1" applyFill="1" applyBorder="1" applyAlignment="1">
      <alignment vertical="center"/>
    </xf>
    <xf numFmtId="0" fontId="24" fillId="5" borderId="0" xfId="0" applyFont="1" applyFill="1" applyBorder="1" applyAlignment="1">
      <alignment horizontal="right" vertical="center"/>
    </xf>
    <xf numFmtId="0" fontId="25" fillId="0" borderId="0" xfId="0" applyFont="1" applyAlignment="1">
      <alignment vertical="center"/>
    </xf>
    <xf numFmtId="0" fontId="24" fillId="5" borderId="0" xfId="0" applyFont="1" applyFill="1" applyAlignment="1">
      <alignment vertical="center"/>
    </xf>
    <xf numFmtId="0" fontId="25" fillId="0" borderId="0" xfId="0" applyFont="1" applyAlignment="1"/>
    <xf numFmtId="0" fontId="24" fillId="5" borderId="0" xfId="0" applyFont="1" applyFill="1" applyAlignment="1">
      <alignment horizontal="left" vertical="center"/>
    </xf>
    <xf numFmtId="0" fontId="24" fillId="5" borderId="0" xfId="0" applyFont="1" applyFill="1" applyAlignment="1">
      <alignment vertical="center" wrapText="1"/>
    </xf>
    <xf numFmtId="0" fontId="24" fillId="5" borderId="0" xfId="0" applyFont="1" applyFill="1" applyAlignment="1">
      <alignment horizontal="right" vertical="center" wrapText="1"/>
    </xf>
    <xf numFmtId="0" fontId="24" fillId="5" borderId="0" xfId="0" applyFont="1" applyFill="1" applyAlignment="1">
      <alignment horizontal="right" vertical="center"/>
    </xf>
    <xf numFmtId="0" fontId="0" fillId="0" borderId="0" xfId="0" applyAlignment="1" applyProtection="1">
      <alignment vertical="center"/>
    </xf>
    <xf numFmtId="0" fontId="1" fillId="0" borderId="0" xfId="0" applyFont="1" applyAlignment="1" applyProtection="1">
      <alignment horizontal="center" vertical="center"/>
    </xf>
    <xf numFmtId="0" fontId="0" fillId="0" borderId="0" xfId="0" applyAlignment="1" applyProtection="1">
      <alignment horizontal="right" vertical="center"/>
    </xf>
    <xf numFmtId="0" fontId="0" fillId="0" borderId="0" xfId="0" applyProtection="1"/>
    <xf numFmtId="0" fontId="15" fillId="0" borderId="0" xfId="0" applyFont="1" applyAlignment="1" applyProtection="1">
      <alignment vertical="center"/>
    </xf>
    <xf numFmtId="0" fontId="3" fillId="0" borderId="0" xfId="0" applyFont="1" applyAlignment="1" applyProtection="1">
      <alignment vertical="center"/>
    </xf>
    <xf numFmtId="0" fontId="11" fillId="0" borderId="0" xfId="0" applyFont="1" applyAlignment="1" applyProtection="1">
      <alignment vertical="center"/>
    </xf>
    <xf numFmtId="0" fontId="13" fillId="0" borderId="0" xfId="0" applyFont="1" applyAlignment="1" applyProtection="1">
      <alignment vertical="center"/>
    </xf>
    <xf numFmtId="0" fontId="25" fillId="0" borderId="0" xfId="0" applyFont="1" applyAlignment="1" applyProtection="1">
      <alignment vertical="center"/>
    </xf>
    <xf numFmtId="0" fontId="24" fillId="5" borderId="0" xfId="0" applyFont="1" applyFill="1" applyBorder="1" applyAlignment="1" applyProtection="1">
      <alignment horizontal="right" vertical="center"/>
    </xf>
    <xf numFmtId="0" fontId="24" fillId="5" borderId="0" xfId="0" applyFont="1" applyFill="1" applyBorder="1" applyAlignment="1" applyProtection="1">
      <alignment vertical="center"/>
    </xf>
    <xf numFmtId="0" fontId="24" fillId="5" borderId="0" xfId="0" applyFont="1" applyFill="1" applyAlignment="1" applyProtection="1">
      <alignment horizontal="right" vertical="center"/>
    </xf>
    <xf numFmtId="0" fontId="0" fillId="0" borderId="0" xfId="0" applyFont="1" applyFill="1" applyAlignment="1" applyProtection="1">
      <alignment vertical="center"/>
    </xf>
    <xf numFmtId="0" fontId="0" fillId="0" borderId="0" xfId="0" applyFont="1" applyFill="1" applyAlignment="1" applyProtection="1">
      <alignment horizontal="left" vertical="center"/>
    </xf>
    <xf numFmtId="0" fontId="13" fillId="0" borderId="0" xfId="0" applyFont="1" applyFill="1" applyAlignment="1" applyProtection="1">
      <alignment vertical="center"/>
    </xf>
    <xf numFmtId="0" fontId="1" fillId="0" borderId="0" xfId="0" applyFont="1" applyAlignment="1" applyProtection="1">
      <alignment vertical="center"/>
    </xf>
    <xf numFmtId="0" fontId="1" fillId="0" borderId="0" xfId="0" applyFont="1" applyProtection="1"/>
    <xf numFmtId="0" fontId="12" fillId="0" borderId="0" xfId="1" applyAlignment="1" applyProtection="1">
      <alignment vertical="center"/>
    </xf>
    <xf numFmtId="0" fontId="0" fillId="0" borderId="0" xfId="0" applyFont="1" applyAlignment="1" applyProtection="1">
      <alignment vertical="center"/>
    </xf>
    <xf numFmtId="0" fontId="0" fillId="0" borderId="0" xfId="0" applyFont="1" applyAlignment="1" applyProtection="1">
      <alignment horizontal="left" vertical="center"/>
    </xf>
    <xf numFmtId="0" fontId="25" fillId="0" borderId="0" xfId="0" applyFont="1" applyAlignment="1" applyProtection="1">
      <alignment horizontal="left" vertical="center"/>
    </xf>
    <xf numFmtId="0" fontId="26" fillId="0" borderId="0" xfId="0" applyFont="1" applyAlignment="1" applyProtection="1">
      <alignment vertical="center"/>
    </xf>
    <xf numFmtId="0" fontId="13" fillId="0" borderId="0" xfId="0" applyFont="1" applyAlignment="1" applyProtection="1">
      <alignment vertical="top" wrapText="1"/>
    </xf>
    <xf numFmtId="0" fontId="12" fillId="0" borderId="0" xfId="1" applyAlignment="1" applyProtection="1">
      <alignment vertical="top"/>
    </xf>
    <xf numFmtId="0" fontId="0" fillId="0" borderId="0" xfId="0" applyFill="1" applyAlignment="1" applyProtection="1">
      <alignment vertical="center"/>
    </xf>
    <xf numFmtId="0" fontId="2" fillId="0" borderId="0" xfId="0" applyFont="1" applyAlignment="1" applyProtection="1">
      <alignment vertical="center"/>
    </xf>
    <xf numFmtId="14" fontId="7" fillId="3" borderId="1" xfId="2" applyNumberFormat="1" applyFill="1" applyBorder="1" applyAlignment="1" applyProtection="1">
      <alignment horizontal="center" vertical="center"/>
      <protection locked="0"/>
    </xf>
    <xf numFmtId="0" fontId="6" fillId="0" borderId="0" xfId="2" applyFont="1" applyAlignment="1" applyProtection="1">
      <alignment vertical="center"/>
    </xf>
    <xf numFmtId="49" fontId="6" fillId="0" borderId="0" xfId="2" applyNumberFormat="1" applyFont="1" applyAlignment="1" applyProtection="1">
      <alignment horizontal="left" vertical="center"/>
    </xf>
    <xf numFmtId="8" fontId="6" fillId="0" borderId="0" xfId="2" applyNumberFormat="1" applyFont="1" applyAlignment="1" applyProtection="1">
      <alignment horizontal="center" vertical="center"/>
    </xf>
    <xf numFmtId="0" fontId="7" fillId="0" borderId="0" xfId="2" applyAlignment="1" applyProtection="1">
      <alignment vertical="center"/>
    </xf>
    <xf numFmtId="0" fontId="7" fillId="0" borderId="0" xfId="2" applyAlignment="1" applyProtection="1">
      <alignment horizontal="center" vertical="center"/>
    </xf>
    <xf numFmtId="49" fontId="7" fillId="0" borderId="0" xfId="2" applyNumberFormat="1" applyAlignment="1" applyProtection="1">
      <alignment horizontal="left" vertical="center"/>
    </xf>
    <xf numFmtId="8" fontId="7" fillId="0" borderId="0" xfId="2" applyNumberFormat="1" applyAlignment="1" applyProtection="1">
      <alignment horizontal="center" vertical="center"/>
    </xf>
    <xf numFmtId="0" fontId="7" fillId="4" borderId="0" xfId="2" applyFill="1" applyAlignment="1" applyProtection="1">
      <alignment vertical="center"/>
    </xf>
    <xf numFmtId="0" fontId="7" fillId="4" borderId="0" xfId="2" applyFill="1" applyAlignment="1" applyProtection="1">
      <alignment horizontal="center" vertical="center"/>
    </xf>
    <xf numFmtId="49" fontId="7" fillId="3" borderId="0" xfId="2" applyNumberFormat="1" applyFill="1" applyAlignment="1" applyProtection="1">
      <alignment horizontal="left" vertical="center"/>
    </xf>
    <xf numFmtId="8" fontId="7" fillId="0" borderId="0" xfId="2" applyNumberFormat="1" applyFill="1" applyAlignment="1" applyProtection="1">
      <alignment horizontal="center" vertical="center"/>
    </xf>
    <xf numFmtId="49" fontId="7" fillId="0" borderId="0" xfId="2" applyNumberFormat="1" applyAlignment="1" applyProtection="1">
      <alignment horizontal="center" vertical="center"/>
    </xf>
    <xf numFmtId="0" fontId="7" fillId="0" borderId="0" xfId="2" applyFont="1" applyAlignment="1" applyProtection="1">
      <alignment vertical="center"/>
    </xf>
    <xf numFmtId="0" fontId="7" fillId="0" borderId="0" xfId="2" applyFont="1" applyAlignment="1" applyProtection="1">
      <alignment horizontal="center" vertical="center"/>
    </xf>
    <xf numFmtId="14" fontId="7" fillId="0" borderId="0" xfId="2" applyNumberFormat="1" applyAlignment="1" applyProtection="1">
      <alignment horizontal="center" vertical="center"/>
    </xf>
    <xf numFmtId="0" fontId="6" fillId="0" borderId="1" xfId="2" applyFont="1" applyBorder="1" applyAlignment="1" applyProtection="1">
      <alignment vertical="center"/>
    </xf>
    <xf numFmtId="49" fontId="6" fillId="0" borderId="1" xfId="2" applyNumberFormat="1" applyFont="1" applyBorder="1" applyAlignment="1" applyProtection="1">
      <alignment horizontal="center" vertical="center"/>
    </xf>
    <xf numFmtId="8" fontId="6" fillId="0" borderId="1" xfId="2" applyNumberFormat="1" applyFont="1" applyBorder="1" applyAlignment="1" applyProtection="1">
      <alignment horizontal="center" vertical="center"/>
    </xf>
    <xf numFmtId="0" fontId="6" fillId="0" borderId="1" xfId="2" applyFont="1" applyBorder="1" applyAlignment="1" applyProtection="1">
      <alignment horizontal="center" vertical="center"/>
    </xf>
    <xf numFmtId="0" fontId="7" fillId="0" borderId="1" xfId="2" applyBorder="1" applyAlignment="1" applyProtection="1">
      <alignment horizontal="center" vertical="center"/>
    </xf>
    <xf numFmtId="0" fontId="7" fillId="0" borderId="0" xfId="2" applyFont="1" applyFill="1" applyBorder="1" applyAlignment="1" applyProtection="1">
      <alignment horizontal="center" vertical="center"/>
    </xf>
    <xf numFmtId="0" fontId="7" fillId="0" borderId="1" xfId="2" applyBorder="1" applyAlignment="1" applyProtection="1">
      <alignment vertical="center"/>
    </xf>
    <xf numFmtId="0" fontId="7" fillId="0" borderId="1" xfId="2" applyNumberFormat="1" applyBorder="1" applyAlignment="1" applyProtection="1">
      <alignment horizontal="center" vertical="center"/>
    </xf>
    <xf numFmtId="8" fontId="7" fillId="0" borderId="0" xfId="2" applyNumberFormat="1" applyAlignment="1" applyProtection="1">
      <alignment vertical="center"/>
    </xf>
    <xf numFmtId="14" fontId="7" fillId="0" borderId="0" xfId="2" applyNumberFormat="1" applyFill="1" applyAlignment="1" applyProtection="1">
      <alignment horizontal="center" vertical="center"/>
    </xf>
    <xf numFmtId="8" fontId="7" fillId="3" borderId="0" xfId="2" applyNumberFormat="1" applyFill="1" applyAlignment="1" applyProtection="1">
      <alignment horizontal="center" vertical="center"/>
      <protection locked="0"/>
    </xf>
    <xf numFmtId="166" fontId="7" fillId="3" borderId="0" xfId="2" applyNumberFormat="1" applyFill="1" applyAlignment="1" applyProtection="1">
      <alignment horizontal="center" vertical="center"/>
      <protection locked="0"/>
    </xf>
    <xf numFmtId="8" fontId="7" fillId="3" borderId="1" xfId="2" applyNumberFormat="1" applyFill="1" applyBorder="1" applyAlignment="1" applyProtection="1">
      <alignment horizontal="center" vertical="center"/>
      <protection locked="0"/>
    </xf>
    <xf numFmtId="8" fontId="6" fillId="4" borderId="1" xfId="2" applyNumberFormat="1" applyFont="1" applyFill="1" applyBorder="1" applyAlignment="1" applyProtection="1">
      <alignment horizontal="center" vertical="center"/>
      <protection locked="0"/>
    </xf>
    <xf numFmtId="14" fontId="7" fillId="4" borderId="0" xfId="2" applyNumberFormat="1" applyFill="1" applyAlignment="1" applyProtection="1">
      <alignment horizontal="center" vertical="center"/>
      <protection locked="0"/>
    </xf>
    <xf numFmtId="14" fontId="6" fillId="6" borderId="0" xfId="0" applyNumberFormat="1" applyFont="1" applyFill="1" applyBorder="1" applyAlignment="1" applyProtection="1">
      <alignment horizontal="right" vertical="center"/>
      <protection locked="0"/>
    </xf>
    <xf numFmtId="14" fontId="6" fillId="6" borderId="0" xfId="0" applyNumberFormat="1" applyFont="1" applyFill="1" applyBorder="1" applyAlignment="1" applyProtection="1">
      <alignment horizontal="left" vertical="center"/>
      <protection locked="0"/>
    </xf>
    <xf numFmtId="0" fontId="0" fillId="2" borderId="0" xfId="0" applyFill="1" applyAlignment="1">
      <alignment vertical="center"/>
    </xf>
    <xf numFmtId="0" fontId="18" fillId="2" borderId="0" xfId="0" applyFont="1" applyFill="1" applyAlignment="1">
      <alignment vertical="center"/>
    </xf>
    <xf numFmtId="0" fontId="19" fillId="2" borderId="0" xfId="0" applyFont="1" applyFill="1" applyAlignment="1">
      <alignment vertical="center"/>
    </xf>
    <xf numFmtId="0" fontId="3" fillId="2" borderId="0" xfId="0" applyFont="1" applyFill="1" applyAlignment="1">
      <alignment vertical="center"/>
    </xf>
    <xf numFmtId="0" fontId="4" fillId="2" borderId="0" xfId="0" applyFont="1" applyFill="1" applyBorder="1" applyAlignment="1">
      <alignment vertical="center"/>
    </xf>
    <xf numFmtId="0" fontId="4" fillId="2" borderId="0" xfId="0" applyFont="1" applyFill="1" applyBorder="1" applyAlignment="1">
      <alignment horizontal="left" vertical="center"/>
    </xf>
    <xf numFmtId="0" fontId="0" fillId="2" borderId="0" xfId="0" applyFill="1" applyAlignment="1">
      <alignment horizontal="right" vertical="center"/>
    </xf>
    <xf numFmtId="0" fontId="6" fillId="2" borderId="0" xfId="0" applyFont="1" applyFill="1" applyBorder="1" applyAlignment="1">
      <alignment vertical="center"/>
    </xf>
    <xf numFmtId="0" fontId="5" fillId="2" borderId="0" xfId="0" applyFont="1" applyFill="1" applyBorder="1" applyAlignment="1">
      <alignment vertical="center"/>
    </xf>
    <xf numFmtId="0" fontId="6" fillId="2" borderId="0" xfId="0" applyFont="1" applyFill="1" applyAlignment="1">
      <alignment vertical="center"/>
    </xf>
    <xf numFmtId="0" fontId="0" fillId="2" borderId="0" xfId="0" applyFill="1" applyBorder="1" applyAlignment="1">
      <alignment vertical="center"/>
    </xf>
    <xf numFmtId="0" fontId="3" fillId="2" borderId="0" xfId="0" applyFont="1" applyFill="1" applyAlignment="1">
      <alignment horizontal="right" vertical="center"/>
    </xf>
    <xf numFmtId="14" fontId="6" fillId="7" borderId="0" xfId="0" applyNumberFormat="1" applyFont="1" applyFill="1" applyBorder="1" applyAlignment="1" applyProtection="1">
      <alignment horizontal="left" vertical="center"/>
      <protection locked="0"/>
    </xf>
    <xf numFmtId="14" fontId="6" fillId="7" borderId="0" xfId="0" applyNumberFormat="1" applyFont="1" applyFill="1" applyBorder="1" applyAlignment="1" applyProtection="1">
      <alignment horizontal="right" vertical="center"/>
      <protection locked="0"/>
    </xf>
    <xf numFmtId="14" fontId="1" fillId="7" borderId="0" xfId="0" applyNumberFormat="1" applyFont="1" applyFill="1" applyAlignment="1" applyProtection="1">
      <alignment horizontal="left" vertical="center"/>
      <protection locked="0"/>
    </xf>
    <xf numFmtId="0" fontId="1" fillId="7" borderId="0" xfId="0" applyFont="1" applyFill="1" applyAlignment="1" applyProtection="1">
      <alignment horizontal="right" vertical="center"/>
      <protection locked="0"/>
    </xf>
    <xf numFmtId="0" fontId="1" fillId="7" borderId="0" xfId="0" applyFont="1" applyFill="1" applyAlignment="1" applyProtection="1">
      <alignment horizontal="center" vertical="center"/>
      <protection locked="0"/>
    </xf>
    <xf numFmtId="0" fontId="16" fillId="7" borderId="0" xfId="0" applyFont="1" applyFill="1" applyAlignment="1">
      <alignment vertical="center"/>
    </xf>
    <xf numFmtId="0" fontId="12" fillId="2" borderId="0" xfId="1" applyFill="1" applyAlignment="1">
      <alignment horizontal="right" vertical="center"/>
    </xf>
    <xf numFmtId="0" fontId="13" fillId="2" borderId="0" xfId="0" applyFont="1" applyFill="1" applyAlignment="1">
      <alignment horizontal="right" vertical="center"/>
    </xf>
    <xf numFmtId="0" fontId="13" fillId="2" borderId="0" xfId="0" applyFont="1" applyFill="1" applyAlignment="1">
      <alignment vertical="center"/>
    </xf>
    <xf numFmtId="0" fontId="14" fillId="2" borderId="0" xfId="0" applyFont="1" applyFill="1" applyAlignment="1">
      <alignment vertical="center"/>
    </xf>
    <xf numFmtId="0" fontId="15" fillId="2" borderId="0" xfId="0" applyFont="1" applyFill="1" applyAlignment="1">
      <alignment vertical="center"/>
    </xf>
    <xf numFmtId="0" fontId="22" fillId="2" borderId="0" xfId="0" applyFont="1" applyFill="1" applyAlignment="1">
      <alignment vertical="center"/>
    </xf>
    <xf numFmtId="0" fontId="25" fillId="2" borderId="0" xfId="0" applyFont="1" applyFill="1" applyAlignment="1">
      <alignment vertical="center"/>
    </xf>
    <xf numFmtId="0" fontId="0" fillId="2" borderId="0" xfId="0" applyFont="1" applyFill="1" applyAlignment="1">
      <alignment vertical="center"/>
    </xf>
    <xf numFmtId="0" fontId="4" fillId="2" borderId="0" xfId="0" applyFont="1" applyFill="1" applyAlignment="1">
      <alignment vertical="center"/>
    </xf>
    <xf numFmtId="0" fontId="23" fillId="2" borderId="0" xfId="0" applyFont="1" applyFill="1" applyAlignment="1">
      <alignment horizontal="left" vertical="center"/>
    </xf>
    <xf numFmtId="0" fontId="23" fillId="2" borderId="0" xfId="0" applyFont="1" applyFill="1" applyAlignment="1">
      <alignment vertical="center" wrapText="1"/>
    </xf>
    <xf numFmtId="0" fontId="23" fillId="2" borderId="0" xfId="0" applyFont="1" applyFill="1" applyAlignment="1">
      <alignment horizontal="right" vertical="center" wrapText="1"/>
    </xf>
    <xf numFmtId="0" fontId="1" fillId="2" borderId="0" xfId="0" applyFont="1" applyFill="1" applyAlignment="1">
      <alignment vertical="center"/>
    </xf>
    <xf numFmtId="0" fontId="8" fillId="2" borderId="0" xfId="0" applyFont="1" applyFill="1" applyAlignment="1">
      <alignment vertical="center"/>
    </xf>
    <xf numFmtId="0" fontId="1" fillId="2" borderId="0" xfId="0" applyFont="1" applyFill="1" applyAlignment="1">
      <alignment horizontal="right" vertical="center"/>
    </xf>
    <xf numFmtId="0" fontId="1" fillId="2" borderId="0" xfId="0" applyFont="1" applyFill="1" applyAlignment="1">
      <alignment horizontal="center" vertical="center"/>
    </xf>
    <xf numFmtId="8" fontId="1" fillId="6" borderId="0" xfId="0" applyNumberFormat="1" applyFont="1" applyFill="1" applyAlignment="1" applyProtection="1">
      <alignment vertical="center"/>
      <protection locked="0"/>
    </xf>
    <xf numFmtId="0" fontId="4" fillId="2" borderId="0" xfId="0" applyFont="1" applyFill="1" applyAlignment="1">
      <alignment vertical="top"/>
    </xf>
    <xf numFmtId="0" fontId="10" fillId="2" borderId="0" xfId="0" applyFont="1" applyFill="1" applyAlignment="1">
      <alignment vertical="center"/>
    </xf>
    <xf numFmtId="0" fontId="5" fillId="2" borderId="0" xfId="0" applyFont="1" applyFill="1" applyAlignment="1">
      <alignment horizontal="right" vertical="center"/>
    </xf>
    <xf numFmtId="8" fontId="1" fillId="2" borderId="0" xfId="0" applyNumberFormat="1" applyFont="1" applyFill="1" applyAlignment="1">
      <alignment vertical="center"/>
    </xf>
    <xf numFmtId="0" fontId="2" fillId="2" borderId="0" xfId="0" applyFont="1" applyFill="1" applyAlignment="1">
      <alignment vertical="center" wrapText="1"/>
    </xf>
    <xf numFmtId="0" fontId="5" fillId="2" borderId="0" xfId="0" applyFont="1" applyFill="1" applyAlignment="1">
      <alignment vertical="center"/>
    </xf>
    <xf numFmtId="8" fontId="1" fillId="6" borderId="0" xfId="0" applyNumberFormat="1" applyFont="1" applyFill="1" applyAlignment="1" applyProtection="1">
      <alignment horizontal="right" vertical="center"/>
      <protection locked="0"/>
    </xf>
    <xf numFmtId="0" fontId="8" fillId="2" borderId="0" xfId="0" applyFont="1" applyFill="1" applyAlignment="1">
      <alignment horizontal="center" vertical="center"/>
    </xf>
    <xf numFmtId="0" fontId="0" fillId="2" borderId="0" xfId="0" applyFont="1" applyFill="1" applyAlignment="1">
      <alignment horizontal="left" vertical="center"/>
    </xf>
    <xf numFmtId="0" fontId="3" fillId="2" borderId="0" xfId="0" applyFont="1" applyFill="1" applyAlignment="1">
      <alignment horizontal="left" vertical="center"/>
    </xf>
    <xf numFmtId="0" fontId="8" fillId="2" borderId="0" xfId="0" applyFont="1" applyFill="1" applyAlignment="1">
      <alignment horizontal="left" vertical="center"/>
    </xf>
    <xf numFmtId="8" fontId="1" fillId="2" borderId="0" xfId="0" applyNumberFormat="1" applyFont="1" applyFill="1" applyAlignment="1">
      <alignment horizontal="right" vertical="center"/>
    </xf>
    <xf numFmtId="0" fontId="2" fillId="2" borderId="0" xfId="0" applyFont="1" applyFill="1" applyAlignment="1">
      <alignment vertical="center"/>
    </xf>
    <xf numFmtId="0" fontId="1" fillId="2" borderId="0" xfId="0" applyFont="1" applyFill="1" applyAlignment="1">
      <alignment horizontal="left" vertical="center"/>
    </xf>
    <xf numFmtId="0" fontId="0" fillId="2" borderId="0" xfId="0" applyFont="1" applyFill="1" applyAlignment="1">
      <alignment horizontal="right" vertical="center"/>
    </xf>
    <xf numFmtId="8" fontId="21" fillId="6" borderId="0" xfId="0" applyNumberFormat="1" applyFont="1" applyFill="1" applyAlignment="1" applyProtection="1">
      <alignment vertical="center"/>
      <protection locked="0"/>
    </xf>
    <xf numFmtId="8" fontId="21" fillId="6" borderId="0" xfId="0" applyNumberFormat="1" applyFont="1" applyFill="1" applyAlignment="1" applyProtection="1">
      <alignment horizontal="right" vertical="center"/>
      <protection locked="0"/>
    </xf>
    <xf numFmtId="0" fontId="1" fillId="7" borderId="0" xfId="0" applyNumberFormat="1" applyFont="1" applyFill="1" applyAlignment="1" applyProtection="1">
      <alignment horizontal="center" vertical="center"/>
      <protection locked="0"/>
    </xf>
    <xf numFmtId="0" fontId="2" fillId="2" borderId="0" xfId="0" applyFont="1" applyFill="1" applyAlignment="1">
      <alignment vertical="top" wrapText="1"/>
    </xf>
    <xf numFmtId="0" fontId="9" fillId="2" borderId="0" xfId="0" applyFont="1" applyFill="1" applyAlignment="1">
      <alignment horizontal="right" vertical="center"/>
    </xf>
    <xf numFmtId="165" fontId="1" fillId="6" borderId="0" xfId="0" applyNumberFormat="1" applyFont="1" applyFill="1" applyAlignment="1" applyProtection="1">
      <alignment horizontal="center" vertical="center"/>
      <protection locked="0"/>
    </xf>
    <xf numFmtId="8" fontId="1" fillId="6" borderId="0" xfId="0" applyNumberFormat="1" applyFont="1" applyFill="1" applyAlignment="1" applyProtection="1">
      <alignment horizontal="center" vertical="center"/>
      <protection locked="0"/>
    </xf>
    <xf numFmtId="0" fontId="0" fillId="2" borderId="0" xfId="0" applyFont="1" applyFill="1" applyAlignment="1">
      <alignment horizontal="left" vertical="center" indent="3"/>
    </xf>
    <xf numFmtId="0" fontId="23" fillId="2" borderId="0" xfId="0" applyFont="1" applyFill="1" applyAlignment="1">
      <alignment horizontal="left" vertical="center" wrapText="1"/>
    </xf>
    <xf numFmtId="0" fontId="20" fillId="2" borderId="0" xfId="0" applyFont="1" applyFill="1" applyAlignment="1">
      <alignment vertical="center"/>
    </xf>
    <xf numFmtId="0" fontId="23" fillId="2" borderId="0" xfId="0" applyFont="1" applyFill="1" applyAlignment="1">
      <alignment horizontal="right" vertical="center"/>
    </xf>
    <xf numFmtId="0" fontId="19" fillId="2" borderId="0" xfId="0" applyFont="1" applyFill="1" applyAlignment="1">
      <alignment horizontal="center" vertical="center"/>
    </xf>
    <xf numFmtId="8" fontId="19" fillId="2" borderId="0" xfId="0" applyNumberFormat="1" applyFont="1" applyFill="1" applyBorder="1" applyAlignment="1">
      <alignment horizontal="right" vertical="center"/>
    </xf>
    <xf numFmtId="0" fontId="25" fillId="2" borderId="0" xfId="0" applyFont="1" applyFill="1" applyAlignment="1"/>
    <xf numFmtId="0" fontId="22" fillId="2" borderId="0" xfId="0" applyFont="1" applyFill="1" applyAlignment="1"/>
    <xf numFmtId="0" fontId="26" fillId="2" borderId="0" xfId="0" applyFont="1" applyFill="1" applyAlignment="1">
      <alignment vertical="center"/>
    </xf>
    <xf numFmtId="0" fontId="12" fillId="2" borderId="0" xfId="1" applyFill="1" applyAlignment="1">
      <alignment horizontal="left" vertical="top"/>
    </xf>
    <xf numFmtId="0" fontId="26" fillId="2" borderId="0" xfId="0" applyFont="1" applyFill="1" applyAlignment="1"/>
    <xf numFmtId="0" fontId="12" fillId="2" borderId="0" xfId="1" applyFill="1" applyAlignment="1">
      <alignment vertical="center"/>
    </xf>
    <xf numFmtId="0" fontId="25" fillId="2" borderId="0" xfId="0" applyFont="1" applyFill="1" applyAlignment="1">
      <alignment horizontal="left"/>
    </xf>
    <xf numFmtId="0" fontId="25" fillId="2" borderId="0" xfId="0" applyFont="1" applyFill="1" applyAlignment="1">
      <alignment horizontal="left" vertical="center"/>
    </xf>
    <xf numFmtId="0" fontId="13" fillId="2" borderId="0" xfId="0" applyFont="1" applyFill="1" applyAlignment="1">
      <alignment vertical="top" wrapText="1"/>
    </xf>
    <xf numFmtId="0" fontId="12" fillId="2" borderId="0" xfId="1" applyFill="1" applyAlignment="1">
      <alignment vertical="top"/>
    </xf>
    <xf numFmtId="0" fontId="13" fillId="2" borderId="0" xfId="0" applyFont="1" applyFill="1" applyAlignment="1"/>
    <xf numFmtId="0" fontId="11" fillId="2" borderId="0" xfId="0" applyFont="1" applyFill="1" applyAlignment="1">
      <alignment vertical="center"/>
    </xf>
    <xf numFmtId="0" fontId="1" fillId="6" borderId="0" xfId="0" applyNumberFormat="1" applyFont="1" applyFill="1" applyAlignment="1">
      <alignment horizontal="left" vertical="center"/>
    </xf>
    <xf numFmtId="0" fontId="9" fillId="2" borderId="0" xfId="0" applyFont="1" applyFill="1" applyBorder="1" applyAlignment="1">
      <alignment vertical="center"/>
    </xf>
    <xf numFmtId="0" fontId="7" fillId="2" borderId="0" xfId="0" applyFont="1" applyFill="1" applyAlignment="1">
      <alignment vertical="center"/>
    </xf>
    <xf numFmtId="0" fontId="9" fillId="2" borderId="0" xfId="0" applyFont="1" applyFill="1" applyBorder="1" applyAlignment="1">
      <alignment horizontal="right" vertical="center"/>
    </xf>
    <xf numFmtId="0" fontId="9" fillId="2" borderId="0" xfId="0" applyFont="1" applyFill="1" applyAlignment="1">
      <alignment vertical="center"/>
    </xf>
    <xf numFmtId="0" fontId="9" fillId="2" borderId="0" xfId="0" applyFont="1" applyFill="1" applyAlignment="1"/>
    <xf numFmtId="0" fontId="29" fillId="2" borderId="0" xfId="0" applyFont="1" applyFill="1" applyAlignment="1">
      <alignment wrapText="1"/>
    </xf>
    <xf numFmtId="0" fontId="9" fillId="2" borderId="0" xfId="0" applyFont="1" applyFill="1" applyAlignment="1">
      <alignment horizontal="right"/>
    </xf>
    <xf numFmtId="0" fontId="6" fillId="2" borderId="0" xfId="0" applyFont="1" applyFill="1" applyAlignment="1"/>
    <xf numFmtId="0" fontId="9" fillId="0" borderId="0" xfId="0" applyFont="1" applyAlignment="1"/>
    <xf numFmtId="0" fontId="9" fillId="2" borderId="0" xfId="0" applyFont="1" applyFill="1" applyAlignment="1">
      <alignment vertical="top"/>
    </xf>
    <xf numFmtId="0" fontId="7" fillId="2" borderId="0" xfId="0" applyFont="1" applyFill="1" applyAlignment="1">
      <alignment horizontal="right" vertical="center"/>
    </xf>
    <xf numFmtId="0" fontId="7" fillId="2" borderId="0" xfId="0" applyFont="1" applyFill="1" applyAlignment="1">
      <alignment vertical="center" wrapText="1"/>
    </xf>
    <xf numFmtId="0" fontId="7" fillId="0" borderId="0" xfId="0" applyFont="1" applyAlignment="1">
      <alignment vertical="center"/>
    </xf>
    <xf numFmtId="0" fontId="29" fillId="2" borderId="0" xfId="0" applyFont="1" applyFill="1" applyAlignment="1">
      <alignment vertical="center" wrapText="1"/>
    </xf>
    <xf numFmtId="0" fontId="9" fillId="2" borderId="0" xfId="0" applyFont="1" applyFill="1" applyAlignment="1">
      <alignment horizontal="left" vertical="center"/>
    </xf>
    <xf numFmtId="0" fontId="9" fillId="2" borderId="0" xfId="0" applyFont="1" applyFill="1" applyAlignment="1">
      <alignment horizontal="center" vertical="center"/>
    </xf>
    <xf numFmtId="0" fontId="0" fillId="2" borderId="0" xfId="0" applyFill="1" applyAlignment="1" applyProtection="1">
      <alignment vertical="center"/>
    </xf>
    <xf numFmtId="0" fontId="1" fillId="2" borderId="0" xfId="0" applyFont="1" applyFill="1" applyAlignment="1" applyProtection="1">
      <alignment horizontal="center" vertical="center"/>
    </xf>
    <xf numFmtId="0" fontId="0" fillId="2" borderId="0" xfId="0" applyFill="1" applyAlignment="1" applyProtection="1">
      <alignment horizontal="right" vertical="center"/>
    </xf>
    <xf numFmtId="0" fontId="6" fillId="2" borderId="0" xfId="0" applyFont="1" applyFill="1" applyBorder="1" applyAlignment="1" applyProtection="1">
      <alignment horizontal="right" vertical="center"/>
    </xf>
    <xf numFmtId="0" fontId="3" fillId="2" borderId="0" xfId="0" applyFont="1" applyFill="1" applyAlignment="1" applyProtection="1">
      <alignment vertical="center"/>
    </xf>
    <xf numFmtId="0" fontId="6" fillId="2" borderId="0" xfId="0" applyFont="1" applyFill="1" applyAlignment="1" applyProtection="1">
      <alignment vertical="center"/>
    </xf>
    <xf numFmtId="0" fontId="6" fillId="2" borderId="0" xfId="0" applyFont="1" applyFill="1" applyBorder="1" applyAlignment="1" applyProtection="1">
      <alignment vertical="center"/>
    </xf>
    <xf numFmtId="14" fontId="6" fillId="2" borderId="0" xfId="0" applyNumberFormat="1" applyFont="1" applyFill="1" applyBorder="1" applyAlignment="1" applyProtection="1">
      <alignment horizontal="left" vertical="center"/>
    </xf>
    <xf numFmtId="14" fontId="6" fillId="2" borderId="0" xfId="0" applyNumberFormat="1" applyFont="1" applyFill="1" applyBorder="1" applyAlignment="1" applyProtection="1">
      <alignment horizontal="right" vertical="center"/>
    </xf>
    <xf numFmtId="0" fontId="1" fillId="2" borderId="0" xfId="0" applyFont="1" applyFill="1" applyAlignment="1" applyProtection="1">
      <alignment vertical="center"/>
    </xf>
    <xf numFmtId="0" fontId="1" fillId="2" borderId="0" xfId="0" applyFont="1" applyFill="1" applyAlignment="1" applyProtection="1">
      <alignment horizontal="right" vertical="center"/>
    </xf>
    <xf numFmtId="0" fontId="25" fillId="2" borderId="0" xfId="0" applyFont="1" applyFill="1" applyAlignment="1" applyProtection="1"/>
    <xf numFmtId="0" fontId="0" fillId="2" borderId="0" xfId="0" applyFont="1" applyFill="1" applyAlignment="1" applyProtection="1">
      <alignment horizontal="left" vertical="center"/>
    </xf>
    <xf numFmtId="0" fontId="25" fillId="2" borderId="0" xfId="0" applyFont="1" applyFill="1" applyAlignment="1" applyProtection="1">
      <alignment vertical="center"/>
    </xf>
    <xf numFmtId="0" fontId="8" fillId="2" borderId="0" xfId="0" applyFont="1" applyFill="1" applyAlignment="1" applyProtection="1"/>
    <xf numFmtId="0" fontId="4" fillId="2" borderId="0" xfId="0" applyFont="1" applyFill="1" applyAlignment="1" applyProtection="1"/>
    <xf numFmtId="0" fontId="1" fillId="7" borderId="0" xfId="0" applyFont="1" applyFill="1" applyAlignment="1" applyProtection="1">
      <alignment vertical="center"/>
      <protection locked="0"/>
    </xf>
    <xf numFmtId="8" fontId="6" fillId="6" borderId="0" xfId="0" applyNumberFormat="1" applyFont="1" applyFill="1" applyAlignment="1" applyProtection="1">
      <alignment vertical="center"/>
      <protection locked="0"/>
    </xf>
    <xf numFmtId="0" fontId="25" fillId="2" borderId="0" xfId="0" applyFont="1" applyFill="1" applyAlignment="1" applyProtection="1">
      <alignment horizontal="left"/>
    </xf>
    <xf numFmtId="8" fontId="1" fillId="2" borderId="0" xfId="0" applyNumberFormat="1" applyFont="1" applyFill="1" applyAlignment="1" applyProtection="1">
      <alignment horizontal="right" vertical="center"/>
    </xf>
    <xf numFmtId="0" fontId="8" fillId="2" borderId="0" xfId="0" applyFont="1" applyFill="1" applyAlignment="1" applyProtection="1">
      <alignment horizontal="left" vertical="center"/>
    </xf>
    <xf numFmtId="0" fontId="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0" fillId="2" borderId="0" xfId="0" applyFont="1" applyFill="1" applyAlignment="1" applyProtection="1">
      <alignment vertical="center"/>
    </xf>
    <xf numFmtId="0" fontId="8" fillId="2" borderId="0" xfId="0" applyFont="1" applyFill="1" applyAlignment="1" applyProtection="1">
      <alignment vertical="center"/>
    </xf>
    <xf numFmtId="0" fontId="12" fillId="2" borderId="0" xfId="1" applyFill="1" applyAlignment="1" applyProtection="1">
      <alignment horizontal="right" vertical="center"/>
    </xf>
    <xf numFmtId="0" fontId="0" fillId="2" borderId="0" xfId="0" applyFill="1" applyProtection="1"/>
    <xf numFmtId="0" fontId="14" fillId="2" borderId="0" xfId="0" applyFont="1" applyFill="1" applyAlignment="1" applyProtection="1">
      <alignment vertical="center"/>
    </xf>
    <xf numFmtId="0" fontId="15" fillId="2" borderId="0" xfId="0" applyFont="1" applyFill="1" applyAlignment="1" applyProtection="1">
      <alignment vertical="center"/>
    </xf>
    <xf numFmtId="0" fontId="11" fillId="2" borderId="0" xfId="0" applyFont="1" applyFill="1" applyAlignment="1" applyProtection="1">
      <alignment vertical="center"/>
    </xf>
    <xf numFmtId="0" fontId="13" fillId="2" borderId="0" xfId="0" applyFont="1" applyFill="1" applyAlignment="1" applyProtection="1">
      <alignment vertical="center"/>
    </xf>
    <xf numFmtId="0" fontId="22" fillId="2" borderId="0" xfId="0" applyFont="1" applyFill="1" applyAlignment="1" applyProtection="1">
      <alignment vertical="center"/>
    </xf>
    <xf numFmtId="0" fontId="1" fillId="2" borderId="0" xfId="0" applyFont="1" applyFill="1" applyProtection="1"/>
    <xf numFmtId="0" fontId="15" fillId="2" borderId="0" xfId="0" applyFont="1" applyFill="1" applyAlignment="1" applyProtection="1"/>
    <xf numFmtId="0" fontId="13" fillId="2" borderId="0" xfId="0" applyFont="1" applyFill="1" applyAlignment="1" applyProtection="1">
      <alignment vertical="center" wrapText="1"/>
    </xf>
    <xf numFmtId="0" fontId="12" fillId="2" borderId="0" xfId="1" applyFill="1" applyAlignment="1" applyProtection="1">
      <alignment horizontal="left" vertical="top"/>
    </xf>
    <xf numFmtId="0" fontId="12" fillId="2" borderId="0" xfId="1" applyFill="1" applyAlignment="1" applyProtection="1">
      <alignment vertical="center"/>
    </xf>
    <xf numFmtId="0" fontId="27" fillId="2" borderId="0" xfId="0" applyFont="1" applyFill="1" applyAlignment="1" applyProtection="1">
      <alignment vertical="center"/>
    </xf>
    <xf numFmtId="0" fontId="13" fillId="2" borderId="0" xfId="0" applyFont="1" applyFill="1" applyAlignment="1" applyProtection="1">
      <alignment wrapText="1"/>
    </xf>
    <xf numFmtId="0" fontId="16" fillId="7" borderId="0" xfId="0" applyFont="1" applyFill="1" applyAlignment="1" applyProtection="1">
      <alignment vertical="center"/>
    </xf>
    <xf numFmtId="0" fontId="1" fillId="6" borderId="0" xfId="0" applyNumberFormat="1" applyFont="1" applyFill="1" applyAlignment="1" applyProtection="1">
      <alignment horizontal="left" vertical="center"/>
    </xf>
    <xf numFmtId="0" fontId="3" fillId="2" borderId="0" xfId="0" applyFont="1" applyFill="1" applyAlignment="1" applyProtection="1"/>
    <xf numFmtId="0" fontId="30" fillId="2" borderId="0" xfId="0" applyFont="1" applyFill="1" applyAlignment="1" applyProtection="1">
      <alignment vertical="center"/>
    </xf>
    <xf numFmtId="0" fontId="7" fillId="2" borderId="0" xfId="0" applyFont="1" applyFill="1" applyAlignment="1" applyProtection="1">
      <alignment vertical="center"/>
    </xf>
    <xf numFmtId="0" fontId="6" fillId="2" borderId="0" xfId="0" applyFont="1" applyFill="1" applyAlignment="1" applyProtection="1">
      <alignment horizontal="center" vertical="center"/>
    </xf>
    <xf numFmtId="0" fontId="9" fillId="2" borderId="0" xfId="0" applyFont="1" applyFill="1" applyBorder="1" applyAlignment="1" applyProtection="1">
      <alignment vertical="center"/>
    </xf>
    <xf numFmtId="0" fontId="9" fillId="2" borderId="0" xfId="0" applyFont="1" applyFill="1" applyBorder="1" applyAlignment="1" applyProtection="1">
      <alignment horizontal="right" vertical="center"/>
    </xf>
    <xf numFmtId="0" fontId="31" fillId="2" borderId="0" xfId="0" applyFont="1" applyFill="1" applyAlignment="1" applyProtection="1">
      <alignment vertical="center"/>
    </xf>
    <xf numFmtId="0" fontId="7" fillId="2" borderId="0" xfId="0" applyFont="1" applyFill="1" applyAlignment="1" applyProtection="1">
      <alignment horizontal="right" vertical="center"/>
    </xf>
    <xf numFmtId="0" fontId="32" fillId="2" borderId="0" xfId="0" applyFont="1" applyFill="1" applyBorder="1" applyAlignment="1" applyProtection="1">
      <alignment horizontal="center" vertical="center"/>
    </xf>
    <xf numFmtId="0" fontId="9" fillId="2" borderId="0" xfId="0" applyFont="1" applyFill="1" applyAlignment="1" applyProtection="1">
      <alignment vertical="center"/>
    </xf>
    <xf numFmtId="0" fontId="7" fillId="2" borderId="0" xfId="0" applyFont="1" applyFill="1" applyBorder="1" applyAlignment="1" applyProtection="1">
      <alignment vertical="center"/>
    </xf>
    <xf numFmtId="0" fontId="6" fillId="2" borderId="0" xfId="0" applyFont="1" applyFill="1" applyBorder="1" applyAlignment="1" applyProtection="1">
      <alignment horizontal="center" vertical="center"/>
    </xf>
    <xf numFmtId="0" fontId="9" fillId="2" borderId="0" xfId="0" applyFont="1" applyFill="1" applyAlignment="1" applyProtection="1">
      <alignment horizontal="right" vertical="center"/>
    </xf>
    <xf numFmtId="0" fontId="7" fillId="2" borderId="0" xfId="0" applyFont="1" applyFill="1" applyAlignment="1">
      <alignment horizontal="left" vertical="center"/>
    </xf>
    <xf numFmtId="8" fontId="1" fillId="2" borderId="0" xfId="0" applyNumberFormat="1" applyFont="1" applyFill="1" applyAlignment="1">
      <alignment horizontal="right" vertical="center"/>
    </xf>
    <xf numFmtId="0" fontId="13" fillId="2" borderId="0" xfId="0" applyFont="1" applyFill="1" applyAlignment="1">
      <alignment horizontal="left" vertical="center" wrapText="1"/>
    </xf>
    <xf numFmtId="166" fontId="1" fillId="6" borderId="0" xfId="0" applyNumberFormat="1" applyFont="1" applyFill="1" applyAlignment="1" applyProtection="1">
      <alignment horizontal="center" vertical="center"/>
      <protection locked="0"/>
    </xf>
    <xf numFmtId="0" fontId="34" fillId="2" borderId="0" xfId="0" applyFont="1" applyFill="1" applyAlignment="1">
      <alignment horizontal="right" vertical="center"/>
    </xf>
    <xf numFmtId="0" fontId="6" fillId="2" borderId="0" xfId="0" applyFont="1" applyFill="1" applyAlignment="1">
      <alignment horizontal="left" vertical="center"/>
    </xf>
    <xf numFmtId="8" fontId="21" fillId="6" borderId="0" xfId="0" applyNumberFormat="1" applyFont="1" applyFill="1" applyAlignment="1" applyProtection="1">
      <alignment horizontal="center" vertical="center"/>
      <protection locked="0"/>
    </xf>
    <xf numFmtId="8" fontId="21" fillId="2" borderId="0" xfId="0" applyNumberFormat="1" applyFont="1" applyFill="1" applyAlignment="1" applyProtection="1">
      <alignment vertical="center"/>
    </xf>
    <xf numFmtId="8" fontId="1" fillId="2" borderId="0" xfId="0" applyNumberFormat="1" applyFont="1" applyFill="1" applyAlignment="1" applyProtection="1">
      <alignment horizontal="center" vertical="center"/>
    </xf>
    <xf numFmtId="8" fontId="33" fillId="2" borderId="0" xfId="0" applyNumberFormat="1" applyFont="1" applyFill="1" applyAlignment="1" applyProtection="1">
      <alignment horizontal="right" vertical="center"/>
    </xf>
    <xf numFmtId="8" fontId="1" fillId="2" borderId="0" xfId="0" applyNumberFormat="1" applyFont="1" applyFill="1" applyAlignment="1" applyProtection="1">
      <alignment vertical="center"/>
    </xf>
    <xf numFmtId="0" fontId="3" fillId="2" borderId="0" xfId="0" applyFont="1" applyFill="1" applyAlignment="1" applyProtection="1">
      <alignment horizontal="right" vertical="center"/>
    </xf>
    <xf numFmtId="8" fontId="9" fillId="2" borderId="0" xfId="0" applyNumberFormat="1" applyFont="1" applyFill="1" applyAlignment="1" applyProtection="1">
      <alignment horizontal="right" vertical="center"/>
    </xf>
    <xf numFmtId="0" fontId="7" fillId="6" borderId="0" xfId="0" applyFont="1" applyFill="1" applyBorder="1" applyAlignment="1" applyProtection="1">
      <alignment vertical="center"/>
      <protection locked="0"/>
    </xf>
    <xf numFmtId="164" fontId="0" fillId="2" borderId="0" xfId="0" applyNumberFormat="1" applyFill="1" applyAlignment="1">
      <alignment horizontal="left" vertical="center"/>
    </xf>
    <xf numFmtId="0" fontId="6" fillId="6" borderId="0" xfId="0" applyFont="1" applyFill="1" applyBorder="1" applyAlignment="1" applyProtection="1">
      <alignment horizontal="left" vertical="center"/>
      <protection locked="0"/>
    </xf>
    <xf numFmtId="0" fontId="4" fillId="6" borderId="0" xfId="0" applyFont="1" applyFill="1" applyAlignment="1" applyProtection="1">
      <alignment horizontal="left" vertical="top"/>
      <protection locked="0"/>
    </xf>
    <xf numFmtId="0" fontId="9" fillId="6" borderId="0" xfId="0" applyFont="1" applyFill="1" applyAlignment="1" applyProtection="1">
      <alignment horizontal="left" vertical="top"/>
      <protection locked="0"/>
    </xf>
    <xf numFmtId="0" fontId="3" fillId="6" borderId="0" xfId="0" applyFont="1" applyFill="1" applyAlignment="1" applyProtection="1">
      <alignment horizontal="left" vertical="top"/>
      <protection locked="0"/>
    </xf>
    <xf numFmtId="0" fontId="24" fillId="5" borderId="0" xfId="0" applyFont="1" applyFill="1" applyAlignment="1">
      <alignment horizontal="left" vertical="center" wrapText="1"/>
    </xf>
    <xf numFmtId="0" fontId="7" fillId="2" borderId="0" xfId="0" applyFont="1" applyFill="1" applyAlignment="1" applyProtection="1">
      <alignment horizontal="left" vertical="center"/>
    </xf>
    <xf numFmtId="8" fontId="1" fillId="2" borderId="0" xfId="0" applyNumberFormat="1" applyFont="1" applyFill="1" applyAlignment="1">
      <alignment horizontal="right" vertical="center"/>
    </xf>
    <xf numFmtId="8" fontId="1" fillId="2" borderId="0" xfId="0" applyNumberFormat="1" applyFont="1" applyFill="1" applyAlignment="1">
      <alignment horizontal="left" vertical="center"/>
    </xf>
    <xf numFmtId="0" fontId="7" fillId="2" borderId="0" xfId="0" applyFont="1" applyFill="1" applyBorder="1" applyAlignment="1">
      <alignment vertical="center"/>
    </xf>
    <xf numFmtId="0" fontId="9" fillId="2" borderId="0" xfId="0" applyFont="1" applyFill="1" applyBorder="1" applyAlignment="1">
      <alignment vertical="center"/>
    </xf>
    <xf numFmtId="0" fontId="6" fillId="7" borderId="0" xfId="0" applyFont="1" applyFill="1" applyBorder="1" applyAlignment="1" applyProtection="1">
      <alignment horizontal="left" vertical="center"/>
      <protection locked="0"/>
    </xf>
    <xf numFmtId="0" fontId="6" fillId="6" borderId="0" xfId="0" applyFont="1" applyFill="1" applyBorder="1" applyAlignment="1" applyProtection="1">
      <alignment vertical="center"/>
      <protection locked="0"/>
    </xf>
    <xf numFmtId="0" fontId="24" fillId="5" borderId="0" xfId="0" applyFont="1" applyFill="1" applyBorder="1" applyAlignment="1">
      <alignment horizontal="left" vertical="center"/>
    </xf>
    <xf numFmtId="0" fontId="7" fillId="2" borderId="0" xfId="0" applyFont="1" applyFill="1" applyAlignment="1">
      <alignment horizontal="left" vertical="center"/>
    </xf>
    <xf numFmtId="0" fontId="28" fillId="2" borderId="0" xfId="0" applyFont="1" applyFill="1" applyAlignment="1" applyProtection="1">
      <alignment horizontal="left" vertical="center" wrapText="1"/>
    </xf>
    <xf numFmtId="0" fontId="13" fillId="2" borderId="0" xfId="0" applyFont="1" applyFill="1" applyAlignment="1">
      <alignment horizontal="left" vertical="center" wrapText="1"/>
    </xf>
    <xf numFmtId="0" fontId="1" fillId="2" borderId="0" xfId="0" applyFont="1" applyFill="1" applyAlignment="1">
      <alignment horizontal="left" vertical="center"/>
    </xf>
    <xf numFmtId="0" fontId="24" fillId="5" borderId="0" xfId="0" applyFont="1" applyFill="1" applyAlignment="1">
      <alignment horizontal="right" vertical="center"/>
    </xf>
    <xf numFmtId="0" fontId="24" fillId="5" borderId="0" xfId="0" applyFont="1" applyFill="1" applyAlignment="1">
      <alignment horizontal="left" vertical="center"/>
    </xf>
    <xf numFmtId="0" fontId="13" fillId="2" borderId="0" xfId="0" applyFont="1" applyFill="1" applyAlignment="1">
      <alignment horizontal="left" vertical="top" wrapText="1"/>
    </xf>
    <xf numFmtId="0" fontId="13" fillId="2" borderId="0" xfId="0" applyFont="1" applyFill="1" applyAlignment="1">
      <alignment horizontal="left" wrapText="1"/>
    </xf>
    <xf numFmtId="0" fontId="7" fillId="2" borderId="0" xfId="0" applyFont="1" applyFill="1" applyBorder="1" applyAlignment="1" applyProtection="1">
      <alignment vertical="center"/>
    </xf>
    <xf numFmtId="0" fontId="1" fillId="2" borderId="0" xfId="0" applyFont="1" applyFill="1" applyAlignment="1">
      <alignment horizontal="right" vertical="center"/>
    </xf>
    <xf numFmtId="0" fontId="0" fillId="2" borderId="0" xfId="0" applyFill="1" applyAlignment="1">
      <alignment horizontal="left" vertical="center"/>
    </xf>
    <xf numFmtId="0" fontId="7" fillId="6" borderId="0" xfId="0" applyFont="1" applyFill="1" applyBorder="1" applyAlignment="1" applyProtection="1">
      <alignment horizontal="left" vertical="center"/>
      <protection locked="0"/>
    </xf>
    <xf numFmtId="0" fontId="13" fillId="2" borderId="0" xfId="0" applyFont="1" applyFill="1" applyAlignment="1">
      <alignment horizontal="left" vertical="center"/>
    </xf>
    <xf numFmtId="0" fontId="0" fillId="2" borderId="0" xfId="0" applyFill="1" applyAlignment="1" applyProtection="1">
      <alignment horizontal="left" vertical="center"/>
    </xf>
    <xf numFmtId="0" fontId="0" fillId="6" borderId="0" xfId="0" applyFill="1" applyAlignment="1" applyProtection="1">
      <alignment horizontal="left" vertical="center"/>
      <protection locked="0"/>
    </xf>
    <xf numFmtId="0" fontId="6" fillId="2" borderId="0" xfId="0" applyFont="1" applyFill="1" applyBorder="1" applyAlignment="1" applyProtection="1">
      <alignment horizontal="left" vertical="center"/>
    </xf>
    <xf numFmtId="0" fontId="24" fillId="5" borderId="0" xfId="0" applyFont="1" applyFill="1" applyBorder="1" applyAlignment="1" applyProtection="1">
      <alignment horizontal="left" vertical="center"/>
    </xf>
    <xf numFmtId="0" fontId="13" fillId="0" borderId="0" xfId="0" applyFont="1" applyAlignment="1" applyProtection="1">
      <alignment horizontal="left" vertical="top" wrapText="1"/>
    </xf>
    <xf numFmtId="0" fontId="13" fillId="0" borderId="0" xfId="0" applyFont="1" applyAlignment="1" applyProtection="1">
      <alignment horizontal="left" vertical="center" wrapText="1"/>
    </xf>
    <xf numFmtId="0" fontId="13" fillId="0" borderId="0" xfId="0" applyFont="1" applyAlignment="1" applyProtection="1">
      <alignment horizontal="left" vertical="center"/>
    </xf>
    <xf numFmtId="0" fontId="9" fillId="2" borderId="0" xfId="0" applyFont="1" applyFill="1" applyBorder="1" applyAlignment="1" applyProtection="1">
      <alignment vertical="center"/>
    </xf>
    <xf numFmtId="0" fontId="3" fillId="6" borderId="0" xfId="0" applyFont="1" applyFill="1" applyAlignment="1" applyProtection="1">
      <alignment horizontal="left" vertical="center"/>
      <protection locked="0"/>
    </xf>
    <xf numFmtId="0" fontId="13" fillId="2" borderId="0" xfId="0" applyFont="1" applyFill="1" applyAlignment="1" applyProtection="1">
      <alignment horizontal="left" vertical="center" wrapText="1"/>
    </xf>
    <xf numFmtId="0" fontId="13" fillId="2" borderId="0" xfId="0" applyFont="1" applyFill="1" applyAlignment="1" applyProtection="1">
      <alignment horizontal="left" vertical="center"/>
    </xf>
    <xf numFmtId="0" fontId="19" fillId="2" borderId="0" xfId="0" applyFont="1" applyFill="1" applyAlignment="1" applyProtection="1">
      <alignment vertical="center"/>
    </xf>
    <xf numFmtId="0" fontId="19" fillId="2" borderId="0" xfId="0" applyFont="1" applyFill="1" applyAlignment="1" applyProtection="1">
      <alignment horizontal="center" vertical="center"/>
    </xf>
    <xf numFmtId="8" fontId="19" fillId="2" borderId="2" xfId="0" applyNumberFormat="1" applyFont="1" applyFill="1" applyBorder="1" applyAlignment="1" applyProtection="1">
      <alignment horizontal="right" vertical="center"/>
    </xf>
    <xf numFmtId="0" fontId="0" fillId="6" borderId="0" xfId="0" applyFont="1" applyFill="1" applyAlignment="1" applyProtection="1">
      <alignment vertical="center"/>
      <protection locked="0"/>
    </xf>
  </cellXfs>
  <cellStyles count="3">
    <cellStyle name="Link" xfId="1" builtinId="8"/>
    <cellStyle name="Standard" xfId="0" builtinId="0"/>
    <cellStyle name="Standard 2" xfId="2" xr:uid="{00000000-0005-0000-0000-000002000000}"/>
  </cellStyles>
  <dxfs count="5">
    <dxf>
      <font>
        <b/>
        <i val="0"/>
        <color rgb="FFC00000"/>
      </font>
    </dxf>
    <dxf>
      <font>
        <b/>
        <i val="0"/>
        <color rgb="FFC00000"/>
      </font>
    </dxf>
    <dxf>
      <font>
        <b/>
        <i val="0"/>
        <color rgb="FFC00000"/>
      </font>
    </dxf>
    <dxf>
      <font>
        <b/>
        <i val="0"/>
        <color rgb="FFC00000"/>
      </font>
    </dxf>
    <dxf>
      <font>
        <b/>
        <i val="0"/>
        <color rgb="FFC00000"/>
      </font>
    </dxf>
  </dxfs>
  <tableStyles count="0" defaultTableStyle="TableStyleMedium2" defaultPivotStyle="PivotStyleLight16"/>
  <colors>
    <mruColors>
      <color rgb="FFFFFF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www.kostenbeitrag.de/index.php/heranziehung/17-empfehlungen-zur-berechnung-kita-tagespflege-hessen" TargetMode="External"/><Relationship Id="rId7" Type="http://schemas.openxmlformats.org/officeDocument/2006/relationships/hyperlink" Target="http://www.kostenbeitrag.de/index.php/heranziehung/17-empfehlungen-zur-berechnung-kita-tagespflege-hessen" TargetMode="External"/><Relationship Id="rId2" Type="http://schemas.openxmlformats.org/officeDocument/2006/relationships/hyperlink" Target="http://www.kostenbeitrag.de/index.php/heranziehung/17-empfehlungen-zur-berechnung-kita-tagespflege-hessen" TargetMode="External"/><Relationship Id="rId1" Type="http://schemas.openxmlformats.org/officeDocument/2006/relationships/hyperlink" Target="http://www.kostenbeitrag.de/" TargetMode="External"/><Relationship Id="rId6" Type="http://schemas.openxmlformats.org/officeDocument/2006/relationships/hyperlink" Target="http://www.kostenbeitrag.de/index.php/heranziehung/17-empfehlungen-zur-berechnung-kita-tagespflege-hessen" TargetMode="External"/><Relationship Id="rId5" Type="http://schemas.openxmlformats.org/officeDocument/2006/relationships/hyperlink" Target="http://www.kostenbeitrag.de/index.php/heranziehung/17-empfehlungen-zur-berechnung-kita-tagespflege-hessen" TargetMode="External"/><Relationship Id="rId4" Type="http://schemas.openxmlformats.org/officeDocument/2006/relationships/hyperlink" Target="http://www.kostenbeitrag.de/index.php/heranziehung/17-empfehlungen-zur-berechnung-kita-tagespflege-hesse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39"/>
  <sheetViews>
    <sheetView showGridLines="0" tabSelected="1" topLeftCell="C1" zoomScaleNormal="100" workbookViewId="0">
      <pane ySplit="10" topLeftCell="A11" activePane="bottomLeft" state="frozenSplit"/>
      <selection activeCell="K3" sqref="K3:L3"/>
      <selection pane="bottomLeft" activeCell="K3" sqref="K3:L3"/>
    </sheetView>
  </sheetViews>
  <sheetFormatPr baseColWidth="10" defaultColWidth="11.44140625" defaultRowHeight="15.9" customHeight="1" x14ac:dyDescent="0.25"/>
  <cols>
    <col min="1" max="1" width="3.33203125" style="1" customWidth="1"/>
    <col min="2" max="2" width="14.6640625" style="1" customWidth="1"/>
    <col min="3" max="3" width="8.5546875" style="1" customWidth="1"/>
    <col min="4" max="4" width="7.109375" style="1" customWidth="1"/>
    <col min="5" max="5" width="3.6640625" style="1" customWidth="1"/>
    <col min="6" max="7" width="13.6640625" style="1" customWidth="1"/>
    <col min="8" max="8" width="2.6640625" style="1" customWidth="1"/>
    <col min="9" max="9" width="14.33203125" style="1" customWidth="1"/>
    <col min="10" max="10" width="3.6640625" style="1" customWidth="1"/>
    <col min="11" max="12" width="13.6640625" style="1" customWidth="1"/>
    <col min="13" max="13" width="2.6640625" style="1" customWidth="1"/>
    <col min="14" max="14" width="14.33203125" style="13" customWidth="1"/>
    <col min="15" max="15" width="11.44140625" style="1"/>
    <col min="16" max="16" width="59" style="10" customWidth="1"/>
    <col min="17" max="16384" width="11.44140625" style="1"/>
  </cols>
  <sheetData>
    <row r="1" spans="1:17" ht="15.9" customHeight="1" x14ac:dyDescent="0.25">
      <c r="A1" s="82"/>
      <c r="B1" s="82"/>
      <c r="C1" s="82"/>
      <c r="D1" s="82"/>
      <c r="E1" s="82"/>
      <c r="F1" s="82"/>
      <c r="G1" s="82"/>
      <c r="H1" s="82"/>
      <c r="I1" s="82"/>
      <c r="J1" s="82"/>
      <c r="K1" s="82"/>
      <c r="L1" s="82"/>
      <c r="M1" s="82"/>
      <c r="N1" s="88"/>
      <c r="O1" s="82"/>
      <c r="P1" s="100" t="s">
        <v>55</v>
      </c>
      <c r="Q1" s="82"/>
    </row>
    <row r="2" spans="1:17" ht="15.9" customHeight="1" x14ac:dyDescent="0.25">
      <c r="A2" s="82"/>
      <c r="B2" s="83" t="s">
        <v>221</v>
      </c>
      <c r="C2" s="82"/>
      <c r="D2" s="82"/>
      <c r="E2" s="82"/>
      <c r="F2" s="82"/>
      <c r="G2" s="82"/>
      <c r="H2" s="82"/>
      <c r="I2" s="82"/>
      <c r="J2" s="82"/>
      <c r="K2" s="158" t="s">
        <v>67</v>
      </c>
      <c r="L2" s="159"/>
      <c r="M2" s="159"/>
      <c r="N2" s="160" t="s">
        <v>68</v>
      </c>
      <c r="O2" s="82"/>
      <c r="P2" s="101" t="s">
        <v>220</v>
      </c>
      <c r="Q2" s="82"/>
    </row>
    <row r="3" spans="1:17" ht="15.9" customHeight="1" x14ac:dyDescent="0.25">
      <c r="A3" s="82"/>
      <c r="B3" s="84" t="s">
        <v>222</v>
      </c>
      <c r="C3" s="82"/>
      <c r="D3" s="82"/>
      <c r="E3" s="82"/>
      <c r="F3" s="82"/>
      <c r="G3" s="82"/>
      <c r="H3" s="82"/>
      <c r="I3" s="82"/>
      <c r="J3" s="82"/>
      <c r="K3" s="243"/>
      <c r="L3" s="243"/>
      <c r="M3" s="82"/>
      <c r="N3" s="80"/>
      <c r="O3" s="82"/>
      <c r="P3" s="102"/>
      <c r="Q3" s="82"/>
    </row>
    <row r="4" spans="1:17" ht="15.9" customHeight="1" x14ac:dyDescent="0.25">
      <c r="A4" s="82"/>
      <c r="B4" s="82"/>
      <c r="C4" s="82"/>
      <c r="D4" s="82"/>
      <c r="E4" s="82"/>
      <c r="F4" s="82"/>
      <c r="G4" s="82"/>
      <c r="H4" s="82"/>
      <c r="I4" s="82"/>
      <c r="J4" s="82"/>
      <c r="K4" s="82"/>
      <c r="L4" s="82"/>
      <c r="M4" s="82"/>
      <c r="N4" s="88"/>
      <c r="O4" s="82"/>
      <c r="P4" s="103" t="s">
        <v>49</v>
      </c>
      <c r="Q4" s="82"/>
    </row>
    <row r="5" spans="1:17" s="3" customFormat="1" ht="15.9" customHeight="1" x14ac:dyDescent="0.25">
      <c r="A5" s="85"/>
      <c r="B5" s="252" t="s">
        <v>0</v>
      </c>
      <c r="C5" s="252"/>
      <c r="D5" s="252"/>
      <c r="E5" s="86"/>
      <c r="F5" s="158" t="s">
        <v>47</v>
      </c>
      <c r="G5" s="86"/>
      <c r="H5" s="87"/>
      <c r="I5" s="86"/>
      <c r="J5" s="86"/>
      <c r="K5" s="158" t="s">
        <v>29</v>
      </c>
      <c r="L5" s="161"/>
      <c r="M5" s="158"/>
      <c r="N5" s="160" t="s">
        <v>30</v>
      </c>
      <c r="O5" s="85"/>
      <c r="P5" s="104"/>
      <c r="Q5" s="85"/>
    </row>
    <row r="6" spans="1:17" s="7" customFormat="1" ht="15.9" customHeight="1" x14ac:dyDescent="0.25">
      <c r="A6" s="91"/>
      <c r="B6" s="253"/>
      <c r="C6" s="253"/>
      <c r="D6" s="253"/>
      <c r="E6" s="89"/>
      <c r="F6" s="81"/>
      <c r="G6" s="90"/>
      <c r="H6" s="90"/>
      <c r="I6" s="90"/>
      <c r="J6" s="89"/>
      <c r="K6" s="94"/>
      <c r="L6" s="91"/>
      <c r="M6" s="90"/>
      <c r="N6" s="95"/>
      <c r="O6" s="91"/>
      <c r="P6" s="99" t="s">
        <v>54</v>
      </c>
      <c r="Q6" s="91"/>
    </row>
    <row r="7" spans="1:17" ht="15.9" customHeight="1" x14ac:dyDescent="0.25">
      <c r="A7" s="82"/>
      <c r="B7" s="90"/>
      <c r="C7" s="90"/>
      <c r="D7" s="90"/>
      <c r="E7" s="90"/>
      <c r="F7" s="90"/>
      <c r="G7" s="90"/>
      <c r="H7" s="90"/>
      <c r="I7" s="90"/>
      <c r="J7" s="90"/>
      <c r="K7" s="90"/>
      <c r="L7" s="90"/>
      <c r="M7" s="90"/>
      <c r="N7" s="88"/>
      <c r="O7" s="82"/>
      <c r="P7" s="157" t="s">
        <v>203</v>
      </c>
      <c r="Q7" s="82"/>
    </row>
    <row r="8" spans="1:17" s="3" customFormat="1" ht="15.9" customHeight="1" x14ac:dyDescent="0.25">
      <c r="A8" s="85"/>
      <c r="B8" s="252" t="s">
        <v>74</v>
      </c>
      <c r="C8" s="252"/>
      <c r="D8" s="252"/>
      <c r="E8" s="86"/>
      <c r="F8" s="252" t="s">
        <v>2</v>
      </c>
      <c r="G8" s="252"/>
      <c r="H8" s="252"/>
      <c r="I8" s="252"/>
      <c r="J8" s="86"/>
      <c r="K8" s="252" t="s">
        <v>9</v>
      </c>
      <c r="L8" s="252"/>
      <c r="M8" s="252"/>
      <c r="N8" s="93"/>
      <c r="O8" s="85"/>
      <c r="P8" s="105" t="str">
        <f>IF(AND(Leistungsbeginn&lt;&gt;"",Leistungsende&lt;&gt;"",Leistungsende&lt;Leistungsbeginn)=TRUE,"Fehler im Leistungszeitraum!","")</f>
        <v/>
      </c>
      <c r="Q8" s="85"/>
    </row>
    <row r="9" spans="1:17" s="7" customFormat="1" ht="15.9" customHeight="1" x14ac:dyDescent="0.25">
      <c r="A9" s="91"/>
      <c r="B9" s="253" t="s">
        <v>6</v>
      </c>
      <c r="C9" s="253"/>
      <c r="D9" s="253"/>
      <c r="E9" s="89"/>
      <c r="F9" s="243"/>
      <c r="G9" s="243"/>
      <c r="H9" s="243"/>
      <c r="I9" s="243"/>
      <c r="J9" s="89"/>
      <c r="K9" s="254"/>
      <c r="L9" s="254"/>
      <c r="M9" s="254"/>
      <c r="N9" s="254"/>
      <c r="O9" s="91"/>
      <c r="P9" s="105" t="str">
        <f>IF(VLOOKUP(B9,Auswahlwerte!B3:C6,2,0)=0,"Wählen Sie im Feld links die zu berücksichtigenden Eltern(teile) aus!","")</f>
        <v>Wählen Sie im Feld links die zu berücksichtigenden Eltern(teile) aus!</v>
      </c>
      <c r="Q9" s="91"/>
    </row>
    <row r="10" spans="1:17" ht="15.9" customHeight="1" x14ac:dyDescent="0.25">
      <c r="A10" s="82"/>
      <c r="B10" s="92"/>
      <c r="C10" s="92"/>
      <c r="D10" s="92"/>
      <c r="E10" s="92"/>
      <c r="F10" s="92"/>
      <c r="G10" s="92"/>
      <c r="H10" s="92"/>
      <c r="I10" s="92"/>
      <c r="J10" s="92"/>
      <c r="K10" s="92"/>
      <c r="L10" s="92"/>
      <c r="M10" s="92"/>
      <c r="N10" s="88"/>
      <c r="O10" s="82"/>
      <c r="P10" s="102"/>
      <c r="Q10" s="82"/>
    </row>
    <row r="11" spans="1:17" ht="15.9" customHeight="1" x14ac:dyDescent="0.25">
      <c r="A11" s="82"/>
      <c r="B11" s="92"/>
      <c r="C11" s="92"/>
      <c r="D11" s="92"/>
      <c r="E11" s="92"/>
      <c r="F11" s="92"/>
      <c r="G11" s="92"/>
      <c r="H11" s="92"/>
      <c r="I11" s="92"/>
      <c r="J11" s="92"/>
      <c r="K11" s="92"/>
      <c r="L11" s="92"/>
      <c r="M11" s="92"/>
      <c r="N11" s="88"/>
      <c r="O11" s="82"/>
      <c r="P11" s="102"/>
      <c r="Q11" s="82"/>
    </row>
    <row r="12" spans="1:17" s="16" customFormat="1" ht="15.9" customHeight="1" x14ac:dyDescent="0.25">
      <c r="A12" s="106"/>
      <c r="B12" s="255" t="s">
        <v>1</v>
      </c>
      <c r="C12" s="255"/>
      <c r="D12" s="255"/>
      <c r="E12" s="255"/>
      <c r="F12" s="255"/>
      <c r="G12" s="255"/>
      <c r="H12" s="255"/>
      <c r="I12" s="15" t="str">
        <f>IF(OR(VLOOKUP($B$9,Auswahlwerte!$B$3:$C$6,2,0)=1,VLOOKUP($B$9,Auswahlwerte!$B$3:$C$6,2,0)=3)=TRUE,"Mutter","")</f>
        <v/>
      </c>
      <c r="J12" s="14"/>
      <c r="K12" s="14"/>
      <c r="L12" s="14"/>
      <c r="M12" s="14"/>
      <c r="N12" s="22" t="str">
        <f>IF(OR(VLOOKUP($B$9,Auswahlwerte!$B$3:$C$6,2,0)=2,VLOOKUP($B$9,Auswahlwerte!$B$3:$C$6,2,0)=3)=TRUE,"Vater","")</f>
        <v/>
      </c>
      <c r="O12" s="106"/>
      <c r="P12" s="105" t="str">
        <f>IF(AND(EinkommenMutterVon&lt;&gt;"",EinkommenMutterBis&lt;&gt;"")=TRUE,IF(EinkommenMutterBis&lt;EinkommenMutterVon,"Fehler im Einkommenszeitraum der Mutter!",""),"")</f>
        <v/>
      </c>
      <c r="Q12" s="106"/>
    </row>
    <row r="13" spans="1:17" s="12" customFormat="1" ht="6" customHeight="1" x14ac:dyDescent="0.25">
      <c r="A13" s="107"/>
      <c r="B13" s="109"/>
      <c r="C13" s="109"/>
      <c r="D13" s="109"/>
      <c r="E13" s="109"/>
      <c r="F13" s="109"/>
      <c r="G13" s="110"/>
      <c r="H13" s="110"/>
      <c r="I13" s="111"/>
      <c r="J13" s="110"/>
      <c r="K13" s="110"/>
      <c r="L13" s="110"/>
      <c r="M13" s="110"/>
      <c r="N13" s="111"/>
      <c r="O13" s="125"/>
      <c r="P13" s="102"/>
      <c r="Q13" s="107"/>
    </row>
    <row r="14" spans="1:17" s="166" customFormat="1" ht="15.9" customHeight="1" x14ac:dyDescent="0.25">
      <c r="A14" s="162"/>
      <c r="B14" s="163"/>
      <c r="C14" s="163"/>
      <c r="D14" s="163"/>
      <c r="E14" s="162"/>
      <c r="F14" s="162" t="s">
        <v>12</v>
      </c>
      <c r="G14" s="162"/>
      <c r="H14" s="162"/>
      <c r="I14" s="164" t="s">
        <v>36</v>
      </c>
      <c r="J14" s="162"/>
      <c r="K14" s="162" t="s">
        <v>12</v>
      </c>
      <c r="L14" s="162"/>
      <c r="M14" s="162"/>
      <c r="N14" s="164" t="s">
        <v>36</v>
      </c>
      <c r="O14" s="162"/>
      <c r="P14" s="165" t="str">
        <f>IF(AND(EinkommenVaterVon&lt;&gt;"",EinkommenVaterBis&lt;&gt;"")=TRUE,IF(EinkommenVaterBis&lt;EinkommenVaterVon,"Fehler im Einkommenszeitraum des Vaters!",""),"")</f>
        <v/>
      </c>
      <c r="Q14" s="162"/>
    </row>
    <row r="15" spans="1:17" s="166" customFormat="1" ht="15.9" customHeight="1" x14ac:dyDescent="0.25">
      <c r="A15" s="162"/>
      <c r="B15" s="161" t="s">
        <v>48</v>
      </c>
      <c r="C15" s="163"/>
      <c r="D15" s="163"/>
      <c r="E15" s="162"/>
      <c r="F15" s="161" t="s">
        <v>13</v>
      </c>
      <c r="G15" s="161" t="s">
        <v>14</v>
      </c>
      <c r="H15" s="161"/>
      <c r="I15" s="161"/>
      <c r="J15" s="161"/>
      <c r="K15" s="161" t="s">
        <v>13</v>
      </c>
      <c r="L15" s="161" t="s">
        <v>14</v>
      </c>
      <c r="M15" s="136"/>
      <c r="N15" s="136"/>
      <c r="O15" s="162"/>
      <c r="P15" s="146" t="str">
        <f>IF(AND(SUM(I18:I29,I39:I47)&gt;0,VLOOKUP(EinkommensbetragsfeldMutter,Auswahlwerte!B8:C10,2,0)=0)=TRUE,"Fehlende Auswahl der Betragsart bei der Mutter! ","")</f>
        <v/>
      </c>
      <c r="Q15" s="162"/>
    </row>
    <row r="16" spans="1:17" ht="15.9" customHeight="1" x14ac:dyDescent="0.25">
      <c r="A16" s="82"/>
      <c r="B16" s="244"/>
      <c r="C16" s="244"/>
      <c r="D16" s="244"/>
      <c r="E16" s="82"/>
      <c r="F16" s="96"/>
      <c r="G16" s="96"/>
      <c r="H16" s="112"/>
      <c r="I16" s="97" t="s">
        <v>6</v>
      </c>
      <c r="J16" s="82"/>
      <c r="K16" s="96"/>
      <c r="L16" s="96"/>
      <c r="M16" s="114"/>
      <c r="N16" s="97" t="s">
        <v>6</v>
      </c>
      <c r="O16" s="82"/>
      <c r="P16" s="146" t="str">
        <f>IF(AND(SUM(N18:N29,N39:N47)&gt;0,VLOOKUP(EinkommensbetragsfeldVater,Auswahlwerte!B16:C18,2,0)=0)=TRUE,"Fehlende Auswahl der Betragsart bei dem Vater!","")</f>
        <v/>
      </c>
      <c r="Q16" s="82"/>
    </row>
    <row r="17" spans="1:17" s="3" customFormat="1" ht="15.9" customHeight="1" x14ac:dyDescent="0.25">
      <c r="A17" s="85"/>
      <c r="B17" s="244"/>
      <c r="C17" s="244"/>
      <c r="D17" s="244"/>
      <c r="E17" s="85"/>
      <c r="F17" s="85"/>
      <c r="G17" s="85"/>
      <c r="H17" s="113"/>
      <c r="I17" s="85"/>
      <c r="J17" s="85"/>
      <c r="K17" s="85"/>
      <c r="L17" s="85"/>
      <c r="M17" s="113"/>
      <c r="N17" s="93"/>
      <c r="O17" s="85"/>
      <c r="P17" s="102" t="s">
        <v>60</v>
      </c>
      <c r="Q17" s="85"/>
    </row>
    <row r="18" spans="1:17" ht="15.9" customHeight="1" x14ac:dyDescent="0.25">
      <c r="A18" s="82"/>
      <c r="B18" s="244"/>
      <c r="C18" s="244"/>
      <c r="D18" s="244"/>
      <c r="E18" s="82"/>
      <c r="F18" s="242" t="str">
        <f>VLOOKUP(EinkommensbetragsfeldMutter,Auswahlwerte!$B$8:$P$10,3,0)</f>
        <v>...</v>
      </c>
      <c r="G18" s="242"/>
      <c r="H18" s="115" t="str">
        <f>VLOOKUP(EinkommensbetragsfeldMutter,Auswahlwerte!$B$12:$O$14,3,0)</f>
        <v xml:space="preserve"> </v>
      </c>
      <c r="I18" s="116"/>
      <c r="J18" s="82"/>
      <c r="K18" s="242" t="str">
        <f>VLOOKUP(EinkommensbetragsfeldVater,Auswahlwerte!$B$16:$P$18,3,0)</f>
        <v>...</v>
      </c>
      <c r="L18" s="242"/>
      <c r="M18" s="115" t="str">
        <f>VLOOKUP(EinkommensbetragsfeldVater,Auswahlwerte!$B$20:$O$22,3,0)</f>
        <v xml:space="preserve"> </v>
      </c>
      <c r="N18" s="116"/>
      <c r="O18" s="82"/>
      <c r="P18" s="104" t="s">
        <v>50</v>
      </c>
      <c r="Q18" s="82"/>
    </row>
    <row r="19" spans="1:17" ht="15.9" customHeight="1" x14ac:dyDescent="0.25">
      <c r="A19" s="82"/>
      <c r="B19" s="244"/>
      <c r="C19" s="244"/>
      <c r="D19" s="244"/>
      <c r="E19" s="82"/>
      <c r="F19" s="242" t="str">
        <f>VLOOKUP(EinkommensbetragsfeldMutter,Auswahlwerte!$B$8:$P$10,4,0)</f>
        <v>...</v>
      </c>
      <c r="G19" s="242"/>
      <c r="H19" s="115" t="str">
        <f>VLOOKUP(EinkommensbetragsfeldMutter,Auswahlwerte!$B$12:$O$14,4,0)</f>
        <v xml:space="preserve"> </v>
      </c>
      <c r="I19" s="116"/>
      <c r="J19" s="82"/>
      <c r="K19" s="242" t="str">
        <f>VLOOKUP(EinkommensbetragsfeldVater,Auswahlwerte!$B$16:$P$18,4,0)</f>
        <v>...</v>
      </c>
      <c r="L19" s="242"/>
      <c r="M19" s="115" t="str">
        <f>VLOOKUP(EinkommensbetragsfeldVater,Auswahlwerte!$B$20:$O$22,4,0)</f>
        <v xml:space="preserve"> </v>
      </c>
      <c r="N19" s="116"/>
      <c r="O19" s="82"/>
      <c r="P19" s="102" t="s">
        <v>51</v>
      </c>
      <c r="Q19" s="82"/>
    </row>
    <row r="20" spans="1:17" ht="15.9" customHeight="1" x14ac:dyDescent="0.25">
      <c r="A20" s="82"/>
      <c r="B20" s="244"/>
      <c r="C20" s="244"/>
      <c r="D20" s="244"/>
      <c r="E20" s="82"/>
      <c r="F20" s="242" t="str">
        <f>VLOOKUP(EinkommensbetragsfeldMutter,Auswahlwerte!$B$8:$P$10,5,0)</f>
        <v>...</v>
      </c>
      <c r="G20" s="242"/>
      <c r="H20" s="115" t="str">
        <f>VLOOKUP(EinkommensbetragsfeldMutter,Auswahlwerte!$B$12:$O$14,5,0)</f>
        <v xml:space="preserve"> </v>
      </c>
      <c r="I20" s="116"/>
      <c r="J20" s="82"/>
      <c r="K20" s="242" t="str">
        <f>VLOOKUP(EinkommensbetragsfeldVater,Auswahlwerte!$B$16:$P$18,5,0)</f>
        <v>...</v>
      </c>
      <c r="L20" s="242"/>
      <c r="M20" s="115" t="str">
        <f>VLOOKUP(EinkommensbetragsfeldVater,Auswahlwerte!$B$20:$O$22,5,0)</f>
        <v xml:space="preserve"> </v>
      </c>
      <c r="N20" s="116"/>
      <c r="O20" s="82"/>
      <c r="P20" s="102" t="s">
        <v>61</v>
      </c>
      <c r="Q20" s="82"/>
    </row>
    <row r="21" spans="1:17" ht="15.9" customHeight="1" x14ac:dyDescent="0.25">
      <c r="A21" s="82"/>
      <c r="B21" s="244"/>
      <c r="C21" s="244"/>
      <c r="D21" s="244"/>
      <c r="E21" s="82"/>
      <c r="F21" s="242" t="str">
        <f>VLOOKUP(EinkommensbetragsfeldMutter,Auswahlwerte!$B$8:$P$10,6,0)</f>
        <v>...</v>
      </c>
      <c r="G21" s="242"/>
      <c r="H21" s="115" t="str">
        <f>VLOOKUP(EinkommensbetragsfeldMutter,Auswahlwerte!$B$12:$O$14,6,0)</f>
        <v xml:space="preserve"> </v>
      </c>
      <c r="I21" s="116"/>
      <c r="J21" s="82"/>
      <c r="K21" s="242" t="str">
        <f>VLOOKUP(EinkommensbetragsfeldVater,Auswahlwerte!$B$16:$P$18,6,0)</f>
        <v>...</v>
      </c>
      <c r="L21" s="242"/>
      <c r="M21" s="115" t="str">
        <f>VLOOKUP(EinkommensbetragsfeldVater,Auswahlwerte!$B$20:$O$22,6,0)</f>
        <v xml:space="preserve"> </v>
      </c>
      <c r="N21" s="116"/>
      <c r="O21" s="82"/>
      <c r="P21" s="102" t="s">
        <v>56</v>
      </c>
      <c r="Q21" s="82"/>
    </row>
    <row r="22" spans="1:17" ht="15.9" customHeight="1" x14ac:dyDescent="0.25">
      <c r="A22" s="82"/>
      <c r="B22" s="244"/>
      <c r="C22" s="244"/>
      <c r="D22" s="244"/>
      <c r="E22" s="82"/>
      <c r="F22" s="242" t="str">
        <f>VLOOKUP(EinkommensbetragsfeldMutter,Auswahlwerte!$B$8:$P$10,7,0)</f>
        <v>...</v>
      </c>
      <c r="G22" s="242"/>
      <c r="H22" s="115" t="str">
        <f>VLOOKUP(EinkommensbetragsfeldMutter,Auswahlwerte!$B$12:$O$14,7,0)</f>
        <v xml:space="preserve"> </v>
      </c>
      <c r="I22" s="116"/>
      <c r="J22" s="82"/>
      <c r="K22" s="242" t="str">
        <f>VLOOKUP(EinkommensbetragsfeldVater,Auswahlwerte!$B$16:$P$18,7,0)</f>
        <v>...</v>
      </c>
      <c r="L22" s="242"/>
      <c r="M22" s="115" t="str">
        <f>VLOOKUP(EinkommensbetragsfeldVater,Auswahlwerte!$B$20:$O$22,7,0)</f>
        <v xml:space="preserve"> </v>
      </c>
      <c r="N22" s="116"/>
      <c r="O22" s="82"/>
      <c r="P22" s="102" t="s">
        <v>57</v>
      </c>
      <c r="Q22" s="82"/>
    </row>
    <row r="23" spans="1:17" ht="15.9" customHeight="1" x14ac:dyDescent="0.25">
      <c r="A23" s="82"/>
      <c r="B23" s="244"/>
      <c r="C23" s="244"/>
      <c r="D23" s="244"/>
      <c r="E23" s="82"/>
      <c r="F23" s="242" t="str">
        <f>VLOOKUP(EinkommensbetragsfeldMutter,Auswahlwerte!$B$8:$P$10,8,0)</f>
        <v>...</v>
      </c>
      <c r="G23" s="242"/>
      <c r="H23" s="115" t="str">
        <f>VLOOKUP(EinkommensbetragsfeldMutter,Auswahlwerte!$B$12:$O$14,8,0)</f>
        <v xml:space="preserve"> </v>
      </c>
      <c r="I23" s="116"/>
      <c r="J23" s="82"/>
      <c r="K23" s="242" t="str">
        <f>VLOOKUP(EinkommensbetragsfeldVater,Auswahlwerte!$B$16:$P$18,8,0)</f>
        <v>...</v>
      </c>
      <c r="L23" s="242"/>
      <c r="M23" s="115" t="str">
        <f>VLOOKUP(EinkommensbetragsfeldVater,Auswahlwerte!$B$20:$O$22,8,0)</f>
        <v xml:space="preserve"> </v>
      </c>
      <c r="N23" s="116"/>
      <c r="O23" s="82"/>
      <c r="P23" s="102"/>
      <c r="Q23" s="82"/>
    </row>
    <row r="24" spans="1:17" ht="15.9" customHeight="1" x14ac:dyDescent="0.25">
      <c r="A24" s="82"/>
      <c r="B24" s="244"/>
      <c r="C24" s="244"/>
      <c r="D24" s="244"/>
      <c r="E24" s="82"/>
      <c r="F24" s="242" t="str">
        <f>VLOOKUP(EinkommensbetragsfeldMutter,Auswahlwerte!$B$8:$P$10,9,0)</f>
        <v>...</v>
      </c>
      <c r="G24" s="242"/>
      <c r="H24" s="115" t="str">
        <f>VLOOKUP(EinkommensbetragsfeldMutter,Auswahlwerte!$B$12:$O$14,9,0)</f>
        <v xml:space="preserve"> </v>
      </c>
      <c r="I24" s="116"/>
      <c r="J24" s="82"/>
      <c r="K24" s="242" t="str">
        <f>VLOOKUP(EinkommensbetragsfeldVater,Auswahlwerte!$B$16:$P$18,9,0)</f>
        <v>...</v>
      </c>
      <c r="L24" s="242"/>
      <c r="M24" s="115" t="str">
        <f>VLOOKUP(EinkommensbetragsfeldVater,Auswahlwerte!$B$20:$O$22,9,0)</f>
        <v xml:space="preserve"> </v>
      </c>
      <c r="N24" s="116"/>
      <c r="O24" s="82"/>
      <c r="P24" s="102" t="s">
        <v>62</v>
      </c>
      <c r="Q24" s="82"/>
    </row>
    <row r="25" spans="1:17" ht="15.9" customHeight="1" x14ac:dyDescent="0.25">
      <c r="A25" s="82"/>
      <c r="B25" s="244"/>
      <c r="C25" s="244"/>
      <c r="D25" s="244"/>
      <c r="E25" s="82"/>
      <c r="F25" s="242" t="str">
        <f>VLOOKUP(EinkommensbetragsfeldMutter,Auswahlwerte!$B$8:$P$10,10,0)</f>
        <v>...</v>
      </c>
      <c r="G25" s="242"/>
      <c r="H25" s="115" t="str">
        <f>VLOOKUP(EinkommensbetragsfeldMutter,Auswahlwerte!$B$12:$O$14,10,0)</f>
        <v xml:space="preserve"> </v>
      </c>
      <c r="I25" s="116"/>
      <c r="J25" s="82"/>
      <c r="K25" s="242" t="str">
        <f>VLOOKUP(EinkommensbetragsfeldVater,Auswahlwerte!$B$16:$P$18,10,0)</f>
        <v>...</v>
      </c>
      <c r="L25" s="242"/>
      <c r="M25" s="115" t="str">
        <f>VLOOKUP(EinkommensbetragsfeldVater,Auswahlwerte!$B$20:$O$22,10,0)</f>
        <v xml:space="preserve"> </v>
      </c>
      <c r="N25" s="116"/>
      <c r="O25" s="82"/>
      <c r="P25" s="102" t="s">
        <v>52</v>
      </c>
      <c r="Q25" s="82"/>
    </row>
    <row r="26" spans="1:17" ht="15.9" customHeight="1" x14ac:dyDescent="0.25">
      <c r="A26" s="82"/>
      <c r="B26" s="244"/>
      <c r="C26" s="244"/>
      <c r="D26" s="244"/>
      <c r="E26" s="82"/>
      <c r="F26" s="242" t="str">
        <f>VLOOKUP(EinkommensbetragsfeldMutter,Auswahlwerte!$B$8:$P$10,11,0)</f>
        <v>...</v>
      </c>
      <c r="G26" s="242"/>
      <c r="H26" s="115" t="str">
        <f>VLOOKUP(EinkommensbetragsfeldMutter,Auswahlwerte!$B$12:$O$14,11,0)</f>
        <v xml:space="preserve"> </v>
      </c>
      <c r="I26" s="116"/>
      <c r="J26" s="82"/>
      <c r="K26" s="242" t="str">
        <f>VLOOKUP(EinkommensbetragsfeldVater,Auswahlwerte!$B$16:$P$18,11,0)</f>
        <v>...</v>
      </c>
      <c r="L26" s="242"/>
      <c r="M26" s="115" t="str">
        <f>VLOOKUP(EinkommensbetragsfeldVater,Auswahlwerte!$B$20:$O$22,11,0)</f>
        <v xml:space="preserve"> </v>
      </c>
      <c r="N26" s="116"/>
      <c r="O26" s="82"/>
      <c r="P26" s="102" t="s">
        <v>53</v>
      </c>
      <c r="Q26" s="82"/>
    </row>
    <row r="27" spans="1:17" ht="15.9" customHeight="1" x14ac:dyDescent="0.25">
      <c r="A27" s="82"/>
      <c r="B27" s="244"/>
      <c r="C27" s="244"/>
      <c r="D27" s="244"/>
      <c r="E27" s="82"/>
      <c r="F27" s="242" t="str">
        <f>VLOOKUP(EinkommensbetragsfeldMutter,Auswahlwerte!$B$8:$P$10,12,0)</f>
        <v>...</v>
      </c>
      <c r="G27" s="242"/>
      <c r="H27" s="115" t="str">
        <f>VLOOKUP(EinkommensbetragsfeldMutter,Auswahlwerte!$B$12:$O$14,12,0)</f>
        <v xml:space="preserve"> </v>
      </c>
      <c r="I27" s="116"/>
      <c r="J27" s="82"/>
      <c r="K27" s="242" t="str">
        <f>VLOOKUP(EinkommensbetragsfeldVater,Auswahlwerte!$B$16:$P$18,12,0)</f>
        <v>...</v>
      </c>
      <c r="L27" s="242"/>
      <c r="M27" s="115" t="str">
        <f>VLOOKUP(EinkommensbetragsfeldVater,Auswahlwerte!$B$20:$O$22,12,0)</f>
        <v xml:space="preserve"> </v>
      </c>
      <c r="N27" s="116"/>
      <c r="O27" s="82"/>
      <c r="P27" s="102"/>
      <c r="Q27" s="82"/>
    </row>
    <row r="28" spans="1:17" ht="15.9" customHeight="1" x14ac:dyDescent="0.25">
      <c r="A28" s="82"/>
      <c r="B28" s="244"/>
      <c r="C28" s="244"/>
      <c r="D28" s="244"/>
      <c r="E28" s="82"/>
      <c r="F28" s="242" t="str">
        <f>VLOOKUP(EinkommensbetragsfeldMutter,Auswahlwerte!$B$8:$P$10,13,0)</f>
        <v>...</v>
      </c>
      <c r="G28" s="242"/>
      <c r="H28" s="115" t="str">
        <f>VLOOKUP(EinkommensbetragsfeldMutter,Auswahlwerte!$B$12:$O$14,13,0)</f>
        <v xml:space="preserve"> </v>
      </c>
      <c r="I28" s="116"/>
      <c r="J28" s="82"/>
      <c r="K28" s="242" t="str">
        <f>VLOOKUP(EinkommensbetragsfeldVater,Auswahlwerte!$B$16:$P$18,13,0)</f>
        <v>...</v>
      </c>
      <c r="L28" s="242"/>
      <c r="M28" s="115" t="str">
        <f>VLOOKUP(EinkommensbetragsfeldVater,Auswahlwerte!$B$20:$O$22,13,0)</f>
        <v xml:space="preserve"> </v>
      </c>
      <c r="N28" s="116"/>
      <c r="O28" s="82"/>
      <c r="P28" s="102" t="s">
        <v>63</v>
      </c>
      <c r="Q28" s="82"/>
    </row>
    <row r="29" spans="1:17" ht="15.9" customHeight="1" x14ac:dyDescent="0.25">
      <c r="A29" s="82"/>
      <c r="B29" s="244"/>
      <c r="C29" s="244"/>
      <c r="D29" s="244"/>
      <c r="E29" s="82"/>
      <c r="F29" s="242" t="str">
        <f>VLOOKUP(EinkommensbetragsfeldMutter,Auswahlwerte!$B$8:$P$10,14,0)</f>
        <v>...</v>
      </c>
      <c r="G29" s="242"/>
      <c r="H29" s="115" t="str">
        <f>VLOOKUP(EinkommensbetragsfeldMutter,Auswahlwerte!$B$12:$O$14,14,0)</f>
        <v xml:space="preserve"> </v>
      </c>
      <c r="I29" s="116"/>
      <c r="J29" s="82"/>
      <c r="K29" s="242" t="str">
        <f>VLOOKUP(EinkommensbetragsfeldVater,Auswahlwerte!$B$16:$P$18,14,0)</f>
        <v>...</v>
      </c>
      <c r="L29" s="242"/>
      <c r="M29" s="115" t="str">
        <f>VLOOKUP(EinkommensbetragsfeldVater,Auswahlwerte!$B$20:$O$22,14,0)</f>
        <v xml:space="preserve"> </v>
      </c>
      <c r="N29" s="116"/>
      <c r="O29" s="82"/>
      <c r="P29" s="102" t="s">
        <v>64</v>
      </c>
      <c r="Q29" s="82"/>
    </row>
    <row r="30" spans="1:17" ht="6" customHeight="1" x14ac:dyDescent="0.25">
      <c r="A30" s="82"/>
      <c r="B30" s="82"/>
      <c r="C30" s="82"/>
      <c r="D30" s="82"/>
      <c r="E30" s="82"/>
      <c r="F30" s="82"/>
      <c r="G30" s="82"/>
      <c r="H30" s="112"/>
      <c r="I30" s="82"/>
      <c r="J30" s="82"/>
      <c r="K30" s="82"/>
      <c r="L30" s="82"/>
      <c r="M30" s="112"/>
      <c r="N30" s="88"/>
      <c r="O30" s="82"/>
      <c r="P30" s="102"/>
      <c r="Q30" s="82"/>
    </row>
    <row r="31" spans="1:17" s="16" customFormat="1" ht="15.9" customHeight="1" x14ac:dyDescent="0.25">
      <c r="A31" s="106"/>
      <c r="B31" s="17" t="s">
        <v>70</v>
      </c>
      <c r="C31" s="17"/>
      <c r="D31" s="17"/>
      <c r="E31" s="17"/>
      <c r="F31" s="17"/>
      <c r="G31" s="17"/>
      <c r="H31" s="17"/>
      <c r="I31" s="15" t="str">
        <f>IF(OR(VLOOKUP($B$9,Auswahlwerte!$B$3:$C$6,2,0)=1,VLOOKUP($B$9,Auswahlwerte!$B$3:$C$6,2,0)=3)=TRUE,"Mutter","")</f>
        <v/>
      </c>
      <c r="J31" s="14"/>
      <c r="K31" s="14"/>
      <c r="L31" s="14"/>
      <c r="M31" s="14"/>
      <c r="N31" s="22" t="str">
        <f>IF(OR(VLOOKUP($B$9,Auswahlwerte!$B$3:$C$6,2,0)=2,VLOOKUP($B$9,Auswahlwerte!$B$3:$C$6,2,0)=3)=TRUE,"Vater","")</f>
        <v/>
      </c>
      <c r="O31" s="106"/>
      <c r="P31" s="147"/>
      <c r="Q31" s="106"/>
    </row>
    <row r="32" spans="1:17" s="12" customFormat="1" ht="6" customHeight="1" x14ac:dyDescent="0.25">
      <c r="A32" s="107"/>
      <c r="B32" s="109"/>
      <c r="C32" s="109"/>
      <c r="D32" s="109"/>
      <c r="E32" s="109"/>
      <c r="F32" s="109"/>
      <c r="G32" s="110"/>
      <c r="H32" s="110"/>
      <c r="I32" s="111"/>
      <c r="J32" s="110"/>
      <c r="K32" s="110"/>
      <c r="L32" s="110"/>
      <c r="M32" s="110"/>
      <c r="N32" s="111"/>
      <c r="O32" s="125"/>
      <c r="P32" s="102"/>
      <c r="Q32" s="107"/>
    </row>
    <row r="33" spans="1:17" s="170" customFormat="1" ht="15.9" customHeight="1" x14ac:dyDescent="0.25">
      <c r="A33" s="159"/>
      <c r="B33" s="161" t="s">
        <v>186</v>
      </c>
      <c r="C33" s="167"/>
      <c r="D33" s="167"/>
      <c r="E33" s="159"/>
      <c r="F33" s="256" t="str">
        <f>IF(AND(VLOOKUP('Beiblatt Selbständige'!G14,Auswahlwerte!B25:C27,2,0)&gt;0,'Beiblatt Selbständige'!I14&lt;&gt;"")=TRUE,"Wirtschaftsjahr " &amp; 'Beiblatt Selbständige'!I14,"")</f>
        <v/>
      </c>
      <c r="G33" s="256"/>
      <c r="H33" s="91"/>
      <c r="I33" s="168" t="s">
        <v>15</v>
      </c>
      <c r="J33" s="159"/>
      <c r="K33" s="256" t="str">
        <f>IF(AND(VLOOKUP('Beiblatt Selbständige'!L14,Auswahlwerte!B29:C31,2,0)&gt;0,'Beiblatt Selbständige'!N14&lt;&gt;"")=TRUE,"Wirtschaftsjahr " &amp; 'Beiblatt Selbständige'!N14,"")</f>
        <v/>
      </c>
      <c r="L33" s="256"/>
      <c r="M33" s="91"/>
      <c r="N33" s="168" t="s">
        <v>15</v>
      </c>
      <c r="O33" s="159"/>
      <c r="P33" s="169" t="s">
        <v>72</v>
      </c>
      <c r="Q33" s="159"/>
    </row>
    <row r="34" spans="1:17" ht="15.9" customHeight="1" x14ac:dyDescent="0.25">
      <c r="A34" s="82"/>
      <c r="B34" s="167" t="s">
        <v>187</v>
      </c>
      <c r="C34" s="117"/>
      <c r="D34" s="117"/>
      <c r="E34" s="82"/>
      <c r="F34" s="251" t="str">
        <f>IF(VLOOKUP('Beiblatt Selbständige'!G14,Auswahlwerte!B25:C27,2)&gt;0,'Beiblatt Selbständige'!G14 &amp; ", siehe Beiblatt","")</f>
        <v/>
      </c>
      <c r="G34" s="251"/>
      <c r="H34" s="115" t="s">
        <v>33</v>
      </c>
      <c r="I34" s="120">
        <f>IF(AND(VLOOKUP('Beiblatt Selbständige'!$G$14,Auswahlwerte!$B$25:$C$27,2,0)&gt;0,'Beiblatt Selbständige'!$I$14&lt;&gt;"")=TRUE,EinkSelbständigkeitMutter,0)</f>
        <v>0</v>
      </c>
      <c r="J34" s="82"/>
      <c r="K34" s="251" t="str">
        <f>IF(VLOOKUP('Beiblatt Selbständige'!L14,Auswahlwerte!B29:C31,2)&gt;0,'Beiblatt Selbständige'!L14 &amp; ", siehe Beiblatt","")</f>
        <v/>
      </c>
      <c r="L34" s="251"/>
      <c r="M34" s="115" t="s">
        <v>33</v>
      </c>
      <c r="N34" s="120">
        <f>IF(AND(VLOOKUP('Beiblatt Selbständige'!$L$14,Auswahlwerte!$B$29:$C$31,2,0)&gt;0,'Beiblatt Selbständige'!N14&lt;&gt;"")=TRUE,EinkSelbständigkeitVater,0)</f>
        <v>0</v>
      </c>
      <c r="O34" s="82"/>
      <c r="P34" s="148" t="s">
        <v>73</v>
      </c>
      <c r="Q34" s="82"/>
    </row>
    <row r="35" spans="1:17" ht="6" customHeight="1" x14ac:dyDescent="0.25">
      <c r="A35" s="82"/>
      <c r="B35" s="82"/>
      <c r="C35" s="82"/>
      <c r="D35" s="82"/>
      <c r="E35" s="82"/>
      <c r="F35" s="82"/>
      <c r="G35" s="82"/>
      <c r="H35" s="112"/>
      <c r="I35" s="82"/>
      <c r="J35" s="82"/>
      <c r="K35" s="82"/>
      <c r="L35" s="82"/>
      <c r="M35" s="112"/>
      <c r="N35" s="88"/>
      <c r="O35" s="82"/>
      <c r="P35" s="102"/>
      <c r="Q35" s="82"/>
    </row>
    <row r="36" spans="1:17" s="18" customFormat="1" ht="15.9" customHeight="1" x14ac:dyDescent="0.25">
      <c r="A36" s="145"/>
      <c r="B36" s="19" t="s">
        <v>146</v>
      </c>
      <c r="C36" s="19"/>
      <c r="D36" s="19"/>
      <c r="E36" s="19"/>
      <c r="F36" s="19"/>
      <c r="G36" s="19"/>
      <c r="H36" s="19"/>
      <c r="I36" s="15" t="str">
        <f>IF(OR(VLOOKUP($B$9,Auswahlwerte!$B$3:$C$6,2,0)=1,VLOOKUP($B$9,Auswahlwerte!$B$3:$C$6,2,0)=3)=TRUE,"Mutter","")</f>
        <v/>
      </c>
      <c r="J36" s="14"/>
      <c r="K36" s="14"/>
      <c r="L36" s="14"/>
      <c r="M36" s="14"/>
      <c r="N36" s="22" t="str">
        <f>IF(OR(VLOOKUP($B$9,Auswahlwerte!$B$3:$C$6,2,0)=2,VLOOKUP($B$9,Auswahlwerte!$B$3:$C$6,2,0)=3)=TRUE,"Vater","")</f>
        <v/>
      </c>
      <c r="O36" s="145"/>
      <c r="P36" s="149"/>
      <c r="Q36" s="145"/>
    </row>
    <row r="37" spans="1:17" s="12" customFormat="1" ht="6" customHeight="1" x14ac:dyDescent="0.25">
      <c r="A37" s="107"/>
      <c r="B37" s="109"/>
      <c r="C37" s="109"/>
      <c r="D37" s="109"/>
      <c r="E37" s="109"/>
      <c r="F37" s="109"/>
      <c r="G37" s="110"/>
      <c r="H37" s="110"/>
      <c r="I37" s="111"/>
      <c r="J37" s="110"/>
      <c r="K37" s="110"/>
      <c r="L37" s="110"/>
      <c r="M37" s="110"/>
      <c r="N37" s="111"/>
      <c r="O37" s="125"/>
      <c r="P37" s="102"/>
      <c r="Q37" s="107"/>
    </row>
    <row r="38" spans="1:17" s="3" customFormat="1" ht="15.9" customHeight="1" x14ac:dyDescent="0.25">
      <c r="A38" s="85"/>
      <c r="B38" s="161" t="s">
        <v>48</v>
      </c>
      <c r="C38" s="171"/>
      <c r="D38" s="171"/>
      <c r="E38" s="161"/>
      <c r="F38" s="159" t="str">
        <f>IF(AND(EinkommenMutterVon&lt;&gt;"",EinkommenMutterBis&lt;&gt;"")=TRUE,"vom " &amp; TEXT(EinkommenMutterVon,"TT.MM.JJJJ") &amp; " bis " &amp; TEXT( EinkommenMutterBis,"TT.MM.JJJJ"),"")</f>
        <v/>
      </c>
      <c r="G38" s="159"/>
      <c r="H38" s="91"/>
      <c r="I38" s="168" t="s">
        <v>15</v>
      </c>
      <c r="J38" s="159"/>
      <c r="K38" s="159" t="str">
        <f>IF(AND(EinkommenVaterVon&lt;&gt;"",EinkommenVaterBis&lt;&gt;"")=TRUE,"vom " &amp; TEXT(EinkommenVaterVon,"TT.MM.JJJJ") &amp; " bis " &amp; TEXT( EinkommenVaterBis,"TT.MM.JJJJ"),"")</f>
        <v/>
      </c>
      <c r="L38" s="159"/>
      <c r="M38" s="91"/>
      <c r="N38" s="168" t="s">
        <v>15</v>
      </c>
      <c r="O38" s="85"/>
      <c r="P38" s="104"/>
      <c r="Q38" s="85"/>
    </row>
    <row r="39" spans="1:17" ht="15.9" customHeight="1" x14ac:dyDescent="0.25">
      <c r="A39" s="82"/>
      <c r="B39" s="245"/>
      <c r="C39" s="245"/>
      <c r="D39" s="245"/>
      <c r="E39" s="82"/>
      <c r="F39" s="241" t="s">
        <v>40</v>
      </c>
      <c r="G39" s="241"/>
      <c r="H39" s="115" t="s">
        <v>33</v>
      </c>
      <c r="I39" s="116"/>
      <c r="J39" s="82"/>
      <c r="K39" s="241" t="s">
        <v>40</v>
      </c>
      <c r="L39" s="241"/>
      <c r="M39" s="115" t="s">
        <v>33</v>
      </c>
      <c r="N39" s="123"/>
      <c r="O39" s="82"/>
      <c r="P39" s="102" t="s">
        <v>65</v>
      </c>
      <c r="Q39" s="82"/>
    </row>
    <row r="40" spans="1:17" ht="15.9" customHeight="1" x14ac:dyDescent="0.25">
      <c r="A40" s="82"/>
      <c r="B40" s="245"/>
      <c r="C40" s="245"/>
      <c r="D40" s="245"/>
      <c r="E40" s="82"/>
      <c r="F40" s="241" t="s">
        <v>85</v>
      </c>
      <c r="G40" s="241"/>
      <c r="H40" s="115" t="s">
        <v>33</v>
      </c>
      <c r="I40" s="116"/>
      <c r="J40" s="82"/>
      <c r="K40" s="241" t="s">
        <v>85</v>
      </c>
      <c r="L40" s="241"/>
      <c r="M40" s="115" t="s">
        <v>33</v>
      </c>
      <c r="N40" s="123"/>
      <c r="O40" s="82"/>
      <c r="P40" s="102" t="s">
        <v>69</v>
      </c>
      <c r="Q40" s="82"/>
    </row>
    <row r="41" spans="1:17" ht="15.9" customHeight="1" x14ac:dyDescent="0.25">
      <c r="A41" s="82"/>
      <c r="B41" s="245"/>
      <c r="C41" s="245"/>
      <c r="D41" s="245"/>
      <c r="E41" s="82"/>
      <c r="F41" s="241" t="s">
        <v>38</v>
      </c>
      <c r="G41" s="241"/>
      <c r="H41" s="115" t="s">
        <v>33</v>
      </c>
      <c r="I41" s="116"/>
      <c r="J41" s="82"/>
      <c r="K41" s="241" t="s">
        <v>38</v>
      </c>
      <c r="L41" s="241"/>
      <c r="M41" s="115" t="s">
        <v>33</v>
      </c>
      <c r="N41" s="123"/>
      <c r="O41" s="82"/>
      <c r="P41" s="102" t="s">
        <v>58</v>
      </c>
      <c r="Q41" s="82"/>
    </row>
    <row r="42" spans="1:17" ht="15.9" customHeight="1" x14ac:dyDescent="0.25">
      <c r="A42" s="82"/>
      <c r="B42" s="245"/>
      <c r="C42" s="245"/>
      <c r="D42" s="245"/>
      <c r="E42" s="82"/>
      <c r="F42" s="241" t="s">
        <v>39</v>
      </c>
      <c r="G42" s="241"/>
      <c r="H42" s="115" t="s">
        <v>33</v>
      </c>
      <c r="I42" s="116"/>
      <c r="J42" s="82"/>
      <c r="K42" s="241" t="s">
        <v>39</v>
      </c>
      <c r="L42" s="241"/>
      <c r="M42" s="115" t="s">
        <v>33</v>
      </c>
      <c r="N42" s="123"/>
      <c r="O42" s="82"/>
      <c r="P42" s="150" t="s">
        <v>59</v>
      </c>
      <c r="Q42" s="82"/>
    </row>
    <row r="43" spans="1:17" ht="15.9" customHeight="1" x14ac:dyDescent="0.25">
      <c r="A43" s="82"/>
      <c r="B43" s="245"/>
      <c r="C43" s="245"/>
      <c r="D43" s="245"/>
      <c r="E43" s="82"/>
      <c r="F43" s="241" t="s">
        <v>41</v>
      </c>
      <c r="G43" s="241"/>
      <c r="H43" s="115" t="s">
        <v>33</v>
      </c>
      <c r="I43" s="116"/>
      <c r="J43" s="82"/>
      <c r="K43" s="241" t="s">
        <v>41</v>
      </c>
      <c r="L43" s="241"/>
      <c r="M43" s="115" t="s">
        <v>33</v>
      </c>
      <c r="N43" s="123"/>
      <c r="O43" s="82"/>
      <c r="P43" s="102"/>
      <c r="Q43" s="82"/>
    </row>
    <row r="44" spans="1:17" ht="15.9" customHeight="1" x14ac:dyDescent="0.25">
      <c r="A44" s="82"/>
      <c r="B44" s="245"/>
      <c r="C44" s="245"/>
      <c r="D44" s="245"/>
      <c r="E44" s="82"/>
      <c r="F44" s="241" t="s">
        <v>86</v>
      </c>
      <c r="G44" s="241"/>
      <c r="H44" s="115" t="s">
        <v>33</v>
      </c>
      <c r="I44" s="116"/>
      <c r="J44" s="82"/>
      <c r="K44" s="241" t="s">
        <v>86</v>
      </c>
      <c r="L44" s="241"/>
      <c r="M44" s="115" t="s">
        <v>33</v>
      </c>
      <c r="N44" s="123"/>
      <c r="O44" s="82"/>
      <c r="P44" s="102" t="s">
        <v>66</v>
      </c>
      <c r="Q44" s="82"/>
    </row>
    <row r="45" spans="1:17" ht="15.9" customHeight="1" x14ac:dyDescent="0.25">
      <c r="A45" s="82"/>
      <c r="B45" s="245"/>
      <c r="C45" s="245"/>
      <c r="D45" s="245"/>
      <c r="E45" s="82"/>
      <c r="F45" s="241" t="s">
        <v>42</v>
      </c>
      <c r="G45" s="241"/>
      <c r="H45" s="115" t="s">
        <v>33</v>
      </c>
      <c r="I45" s="116"/>
      <c r="J45" s="82"/>
      <c r="K45" s="241" t="s">
        <v>42</v>
      </c>
      <c r="L45" s="241"/>
      <c r="M45" s="115" t="s">
        <v>33</v>
      </c>
      <c r="N45" s="123"/>
      <c r="O45" s="82"/>
      <c r="P45" s="102" t="s">
        <v>87</v>
      </c>
      <c r="Q45" s="82"/>
    </row>
    <row r="46" spans="1:17" ht="15.9" customHeight="1" x14ac:dyDescent="0.25">
      <c r="A46" s="82"/>
      <c r="B46" s="245"/>
      <c r="C46" s="245"/>
      <c r="D46" s="245"/>
      <c r="E46" s="82"/>
      <c r="F46" s="241" t="s">
        <v>42</v>
      </c>
      <c r="G46" s="241"/>
      <c r="H46" s="115" t="s">
        <v>33</v>
      </c>
      <c r="I46" s="116"/>
      <c r="J46" s="82"/>
      <c r="K46" s="241" t="s">
        <v>42</v>
      </c>
      <c r="L46" s="241"/>
      <c r="M46" s="115" t="s">
        <v>33</v>
      </c>
      <c r="N46" s="123"/>
      <c r="O46" s="82"/>
      <c r="P46" s="82" t="s">
        <v>88</v>
      </c>
      <c r="Q46" s="82"/>
    </row>
    <row r="47" spans="1:17" ht="15.9" customHeight="1" x14ac:dyDescent="0.25">
      <c r="A47" s="82"/>
      <c r="B47" s="245"/>
      <c r="C47" s="245"/>
      <c r="D47" s="245"/>
      <c r="E47" s="82"/>
      <c r="F47" s="241" t="s">
        <v>42</v>
      </c>
      <c r="G47" s="241"/>
      <c r="H47" s="115" t="s">
        <v>33</v>
      </c>
      <c r="I47" s="116"/>
      <c r="J47" s="82"/>
      <c r="K47" s="241" t="s">
        <v>42</v>
      </c>
      <c r="L47" s="241"/>
      <c r="M47" s="115" t="s">
        <v>33</v>
      </c>
      <c r="N47" s="123"/>
      <c r="O47" s="82"/>
      <c r="P47" s="82"/>
      <c r="Q47" s="82"/>
    </row>
    <row r="48" spans="1:17" s="3" customFormat="1" ht="6" customHeight="1" x14ac:dyDescent="0.25">
      <c r="A48" s="85"/>
      <c r="B48" s="85"/>
      <c r="C48" s="85"/>
      <c r="D48" s="85"/>
      <c r="E48" s="85"/>
      <c r="F48" s="85"/>
      <c r="G48" s="85"/>
      <c r="H48" s="113"/>
      <c r="I48" s="85"/>
      <c r="J48" s="85"/>
      <c r="K48" s="85"/>
      <c r="L48" s="85"/>
      <c r="M48" s="113"/>
      <c r="N48" s="93"/>
      <c r="O48" s="85"/>
      <c r="P48" s="104"/>
      <c r="Q48" s="85"/>
    </row>
    <row r="49" spans="1:17" s="18" customFormat="1" ht="15.9" customHeight="1" x14ac:dyDescent="0.25">
      <c r="A49" s="145"/>
      <c r="B49" s="17" t="s">
        <v>145</v>
      </c>
      <c r="C49" s="17"/>
      <c r="D49" s="17"/>
      <c r="E49" s="17"/>
      <c r="F49" s="17"/>
      <c r="G49" s="17"/>
      <c r="H49" s="17"/>
      <c r="I49" s="15" t="str">
        <f>IF(OR(VLOOKUP($B$9,Auswahlwerte!$B$3:$C$6,2,0)=1,VLOOKUP($B$9,Auswahlwerte!$B$3:$C$6,2,0)=3)=TRUE,"Mutter","")</f>
        <v/>
      </c>
      <c r="J49" s="14"/>
      <c r="K49" s="14"/>
      <c r="L49" s="14"/>
      <c r="M49" s="14"/>
      <c r="N49" s="22" t="str">
        <f>IF(OR(VLOOKUP($B$9,Auswahlwerte!$B$3:$C$6,2,0)=2,VLOOKUP($B$9,Auswahlwerte!$B$3:$C$6,2,0)=3)=TRUE,"Vater","")</f>
        <v/>
      </c>
      <c r="O49" s="151"/>
      <c r="P49" s="149"/>
      <c r="Q49" s="145"/>
    </row>
    <row r="50" spans="1:17" s="12" customFormat="1" ht="6" customHeight="1" x14ac:dyDescent="0.25">
      <c r="A50" s="107"/>
      <c r="B50" s="109"/>
      <c r="C50" s="109"/>
      <c r="D50" s="109"/>
      <c r="E50" s="109"/>
      <c r="F50" s="109"/>
      <c r="G50" s="110"/>
      <c r="H50" s="110"/>
      <c r="I50" s="111"/>
      <c r="J50" s="110"/>
      <c r="K50" s="110"/>
      <c r="L50" s="110"/>
      <c r="M50" s="110"/>
      <c r="N50" s="111"/>
      <c r="O50" s="125"/>
      <c r="P50" s="102"/>
      <c r="Q50" s="107"/>
    </row>
    <row r="51" spans="1:17" s="3" customFormat="1" ht="15.9" customHeight="1" x14ac:dyDescent="0.25">
      <c r="A51" s="85"/>
      <c r="B51" s="108" t="s">
        <v>48</v>
      </c>
      <c r="C51" s="121"/>
      <c r="D51" s="121"/>
      <c r="E51" s="85"/>
      <c r="F51" s="122" t="str">
        <f>IF(AND(EinkommenMutterVon&lt;&gt;"",EinkommenMutterBis&lt;&gt;"")=TRUE,"vom " &amp; TEXT(EinkommenMutterVon,"TT.MM.JJJJ") &amp; " bis " &amp; TEXT( EinkommenMutterBis,"TT.MM.JJJJ"),"")</f>
        <v/>
      </c>
      <c r="G51" s="122"/>
      <c r="H51" s="118"/>
      <c r="I51" s="119" t="s">
        <v>15</v>
      </c>
      <c r="J51" s="122"/>
      <c r="K51" s="122" t="str">
        <f>IF(AND(EinkommenVaterVon&lt;&gt;"",EinkommenVaterBis&lt;&gt;"")=TRUE,"vom " &amp; TEXT(EinkommenVaterVon,"TT.MM.JJJJ") &amp; " bis " &amp; TEXT( EinkommenVaterBis,"TT.MM.JJJJ"),"")</f>
        <v/>
      </c>
      <c r="L51" s="122"/>
      <c r="M51" s="118"/>
      <c r="N51" s="119" t="s">
        <v>15</v>
      </c>
      <c r="O51" s="126"/>
      <c r="P51" s="104"/>
      <c r="Q51" s="85"/>
    </row>
    <row r="52" spans="1:17" s="9" customFormat="1" ht="15.9" customHeight="1" x14ac:dyDescent="0.25">
      <c r="A52" s="107"/>
      <c r="B52" s="246"/>
      <c r="C52" s="246"/>
      <c r="D52" s="246"/>
      <c r="E52" s="107"/>
      <c r="F52" s="241" t="s">
        <v>24</v>
      </c>
      <c r="G52" s="241"/>
      <c r="H52" s="115" t="s">
        <v>35</v>
      </c>
      <c r="I52" s="132"/>
      <c r="J52" s="125"/>
      <c r="K52" s="241" t="s">
        <v>24</v>
      </c>
      <c r="L52" s="241"/>
      <c r="M52" s="115" t="s">
        <v>35</v>
      </c>
      <c r="N52" s="133"/>
      <c r="O52" s="125"/>
      <c r="P52" s="258" t="s">
        <v>198</v>
      </c>
      <c r="Q52" s="107"/>
    </row>
    <row r="53" spans="1:17" s="9" customFormat="1" ht="15.9" customHeight="1" x14ac:dyDescent="0.25">
      <c r="A53" s="107"/>
      <c r="B53" s="246"/>
      <c r="C53" s="246"/>
      <c r="D53" s="246"/>
      <c r="E53" s="107"/>
      <c r="F53" s="241" t="s">
        <v>25</v>
      </c>
      <c r="G53" s="241"/>
      <c r="H53" s="115" t="s">
        <v>35</v>
      </c>
      <c r="I53" s="132"/>
      <c r="J53" s="125"/>
      <c r="K53" s="241" t="s">
        <v>25</v>
      </c>
      <c r="L53" s="241"/>
      <c r="M53" s="115" t="s">
        <v>35</v>
      </c>
      <c r="N53" s="133"/>
      <c r="O53" s="125"/>
      <c r="P53" s="258"/>
      <c r="Q53" s="107"/>
    </row>
    <row r="54" spans="1:17" s="9" customFormat="1" ht="15.9" customHeight="1" x14ac:dyDescent="0.25">
      <c r="A54" s="107"/>
      <c r="B54" s="246"/>
      <c r="C54" s="246"/>
      <c r="D54" s="246"/>
      <c r="E54" s="107"/>
      <c r="F54" s="241" t="s">
        <v>26</v>
      </c>
      <c r="G54" s="241"/>
      <c r="H54" s="115" t="s">
        <v>35</v>
      </c>
      <c r="I54" s="132"/>
      <c r="J54" s="125"/>
      <c r="K54" s="241" t="s">
        <v>26</v>
      </c>
      <c r="L54" s="241"/>
      <c r="M54" s="115" t="s">
        <v>35</v>
      </c>
      <c r="N54" s="133"/>
      <c r="O54" s="125"/>
      <c r="P54" s="258"/>
      <c r="Q54" s="107"/>
    </row>
    <row r="55" spans="1:17" s="9" customFormat="1" ht="15.9" customHeight="1" x14ac:dyDescent="0.25">
      <c r="A55" s="107"/>
      <c r="B55" s="246"/>
      <c r="C55" s="246"/>
      <c r="D55" s="246"/>
      <c r="E55" s="107"/>
      <c r="F55" s="241" t="s">
        <v>27</v>
      </c>
      <c r="G55" s="241"/>
      <c r="H55" s="115" t="s">
        <v>35</v>
      </c>
      <c r="I55" s="132"/>
      <c r="J55" s="125"/>
      <c r="K55" s="241" t="s">
        <v>27</v>
      </c>
      <c r="L55" s="241"/>
      <c r="M55" s="115" t="s">
        <v>35</v>
      </c>
      <c r="N55" s="133"/>
      <c r="O55" s="125"/>
      <c r="P55" s="258"/>
      <c r="Q55" s="107"/>
    </row>
    <row r="56" spans="1:17" s="3" customFormat="1" ht="6" customHeight="1" x14ac:dyDescent="0.25">
      <c r="A56" s="85"/>
      <c r="B56" s="85"/>
      <c r="C56" s="85"/>
      <c r="D56" s="85"/>
      <c r="E56" s="85"/>
      <c r="F56" s="126"/>
      <c r="G56" s="126"/>
      <c r="H56" s="124"/>
      <c r="I56" s="126"/>
      <c r="J56" s="126"/>
      <c r="K56" s="126"/>
      <c r="L56" s="126"/>
      <c r="M56" s="127"/>
      <c r="N56" s="93"/>
      <c r="O56" s="126"/>
      <c r="P56" s="258"/>
      <c r="Q56" s="85"/>
    </row>
    <row r="57" spans="1:17" s="9" customFormat="1" ht="15.9" customHeight="1" x14ac:dyDescent="0.25">
      <c r="A57" s="107"/>
      <c r="B57" s="112" t="s">
        <v>71</v>
      </c>
      <c r="C57" s="107"/>
      <c r="D57" s="107"/>
      <c r="E57" s="107"/>
      <c r="F57" s="259" t="s">
        <v>201</v>
      </c>
      <c r="G57" s="259"/>
      <c r="H57" s="115" t="s">
        <v>45</v>
      </c>
      <c r="I57" s="128">
        <f>IF(SUM(I52:I55)&gt;IF(VLOOKUP(EinkommensbetragsfeldMutter,Auswahlwerte!$B$8:$C$10,2,0)=1,SUM(I18:I20)-SUM(I21:I29),IF(VLOOKUP(EinkommensbetragsfeldMutter,Auswahlwerte!$B$8:$C$10,2,0)=2,SUM(I18:I29),0))+I34+SUM(I39:I47),0,IF(VLOOKUP(EinkommensbetragsfeldMutter,Auswahlwerte!$B$8:$C$10,2,0)=1,SUM(I18:I20)-SUM(I21:I29),IF(VLOOKUP(EinkommensbetragsfeldMutter,Auswahlwerte!$B$8:$C$10,2,0)=2,SUM(I18:I29),0))+I34+SUM(I39:I47)-SUM(I52:I55))</f>
        <v>0</v>
      </c>
      <c r="J57" s="125"/>
      <c r="K57" s="259" t="s">
        <v>201</v>
      </c>
      <c r="L57" s="259"/>
      <c r="M57" s="115" t="s">
        <v>45</v>
      </c>
      <c r="N57" s="128">
        <f>IF(SUM(N52:N55)&gt;IF(VLOOKUP(EinkommensbetragsfeldVater,Auswahlwerte!$B$8:$C$10,2,0)=1,SUM(N18:N20)-SUM(N21:N29),IF(VLOOKUP(EinkommensbetragsfeldVater,Auswahlwerte!$B$8:$C$10,2,0)=2,SUM(N18:N29),0))+N34+SUM(N39:N47),0,IF(VLOOKUP(EinkommensbetragsfeldVater,Auswahlwerte!$B$8:$C$10,2,0)=1,SUM(N18:N20)-SUM(N21:N29),IF(VLOOKUP(EinkommensbetragsfeldVater,Auswahlwerte!$B$8:$C$10,2,0)=2,SUM(N18:N29),0))+N34+SUM(N39:N47)-SUM(N52:N55))</f>
        <v>0</v>
      </c>
      <c r="O57" s="125"/>
      <c r="P57" s="102"/>
      <c r="Q57" s="107"/>
    </row>
    <row r="58" spans="1:17" s="9" customFormat="1" ht="6" customHeight="1" x14ac:dyDescent="0.25">
      <c r="A58" s="107"/>
      <c r="B58" s="129"/>
      <c r="C58" s="107"/>
      <c r="D58" s="107"/>
      <c r="E58" s="107"/>
      <c r="F58" s="125"/>
      <c r="G58" s="125"/>
      <c r="H58" s="115"/>
      <c r="I58" s="125"/>
      <c r="J58" s="125"/>
      <c r="K58" s="125"/>
      <c r="L58" s="125"/>
      <c r="M58" s="130"/>
      <c r="N58" s="131"/>
      <c r="O58" s="125"/>
      <c r="P58" s="102"/>
      <c r="Q58" s="107"/>
    </row>
    <row r="59" spans="1:17" s="16" customFormat="1" ht="15.9" customHeight="1" x14ac:dyDescent="0.25">
      <c r="A59" s="106"/>
      <c r="B59" s="261" t="s">
        <v>44</v>
      </c>
      <c r="C59" s="261"/>
      <c r="D59" s="261"/>
      <c r="E59" s="261"/>
      <c r="F59" s="261"/>
      <c r="G59" s="20"/>
      <c r="H59" s="20"/>
      <c r="I59" s="15" t="str">
        <f>IF(OR(VLOOKUP($B$9,Auswahlwerte!$B$3:$C$6,2,0)=1,VLOOKUP($B$9,Auswahlwerte!$B$3:$C$6,2,0)=3)=TRUE,"Mutter","")</f>
        <v/>
      </c>
      <c r="J59" s="14"/>
      <c r="K59" s="14"/>
      <c r="L59" s="14"/>
      <c r="M59" s="14"/>
      <c r="N59" s="22" t="str">
        <f>IF(OR(VLOOKUP($B$9,Auswahlwerte!$B$3:$C$6,2,0)=2,VLOOKUP($B$9,Auswahlwerte!$B$3:$C$6,2,0)=3)=TRUE,"Vater","")</f>
        <v/>
      </c>
      <c r="O59" s="152"/>
      <c r="P59" s="263" t="s">
        <v>199</v>
      </c>
      <c r="Q59" s="106"/>
    </row>
    <row r="60" spans="1:17" s="12" customFormat="1" ht="6" customHeight="1" x14ac:dyDescent="0.25">
      <c r="A60" s="107"/>
      <c r="B60" s="109"/>
      <c r="C60" s="109"/>
      <c r="D60" s="109"/>
      <c r="E60" s="109"/>
      <c r="F60" s="109"/>
      <c r="G60" s="110"/>
      <c r="H60" s="110"/>
      <c r="I60" s="111"/>
      <c r="J60" s="110"/>
      <c r="K60" s="110"/>
      <c r="L60" s="110"/>
      <c r="M60" s="110"/>
      <c r="N60" s="111"/>
      <c r="O60" s="125"/>
      <c r="P60" s="263"/>
      <c r="Q60" s="107"/>
    </row>
    <row r="61" spans="1:17" s="9" customFormat="1" ht="15.9" customHeight="1" x14ac:dyDescent="0.25">
      <c r="A61" s="107"/>
      <c r="B61" s="121"/>
      <c r="C61" s="121"/>
      <c r="D61" s="121"/>
      <c r="E61" s="107"/>
      <c r="F61" s="172" t="s">
        <v>46</v>
      </c>
      <c r="G61" s="173" t="str">
        <f>"Monat" &amp; IF(G62&lt;&gt;1,"e","")</f>
        <v>Monat</v>
      </c>
      <c r="H61" s="115"/>
      <c r="I61" s="114" t="s">
        <v>43</v>
      </c>
      <c r="J61" s="125"/>
      <c r="K61" s="172" t="s">
        <v>46</v>
      </c>
      <c r="L61" s="173" t="str">
        <f>"Monat" &amp; IF(L62&lt;&gt;1,"e","")</f>
        <v>Monat</v>
      </c>
      <c r="M61" s="130"/>
      <c r="N61" s="114" t="s">
        <v>43</v>
      </c>
      <c r="O61" s="125"/>
      <c r="P61" s="263"/>
      <c r="Q61" s="107"/>
    </row>
    <row r="62" spans="1:17" s="3" customFormat="1" ht="15.9" customHeight="1" x14ac:dyDescent="0.25">
      <c r="A62" s="85"/>
      <c r="B62" s="107" t="s">
        <v>142</v>
      </c>
      <c r="C62" s="121"/>
      <c r="D62" s="121"/>
      <c r="E62" s="85"/>
      <c r="F62" s="130" t="str">
        <f>TEXT(I57,"#.##0,00 €;[Rot]-#.##0,00 €") &amp; "   ÷"</f>
        <v>0,00 €   ÷</v>
      </c>
      <c r="G62" s="134">
        <f>DATEDIF(EinkommenMutterVon,EinkommenMutterBis,"m")+1</f>
        <v>1</v>
      </c>
      <c r="H62" s="115" t="s">
        <v>45</v>
      </c>
      <c r="I62" s="120">
        <f>I57/G62</f>
        <v>0</v>
      </c>
      <c r="J62" s="112"/>
      <c r="K62" s="130" t="str">
        <f>TEXT(N57,"#.##0,00 €;[Rot]-#.##0,00 €") &amp; "   ÷"</f>
        <v>0,00 €   ÷</v>
      </c>
      <c r="L62" s="134">
        <f>DATEDIF(EinkommenVaterVon,EinkommenVaterBis,"m")+1</f>
        <v>1</v>
      </c>
      <c r="M62" s="115" t="s">
        <v>45</v>
      </c>
      <c r="N62" s="128">
        <f>N57/L62</f>
        <v>0</v>
      </c>
      <c r="O62" s="126"/>
      <c r="P62" s="263"/>
      <c r="Q62" s="85"/>
    </row>
    <row r="63" spans="1:17" s="9" customFormat="1" ht="6" customHeight="1" x14ac:dyDescent="0.25">
      <c r="A63" s="107"/>
      <c r="B63" s="121"/>
      <c r="C63" s="121"/>
      <c r="D63" s="121"/>
      <c r="E63" s="112"/>
      <c r="F63" s="107"/>
      <c r="G63" s="107"/>
      <c r="H63" s="107"/>
      <c r="I63" s="107"/>
      <c r="J63" s="107"/>
      <c r="K63" s="107"/>
      <c r="L63" s="107"/>
      <c r="M63" s="107"/>
      <c r="N63" s="131"/>
      <c r="O63" s="107"/>
      <c r="P63" s="263"/>
      <c r="Q63" s="107"/>
    </row>
    <row r="64" spans="1:17" s="16" customFormat="1" ht="15.9" customHeight="1" x14ac:dyDescent="0.25">
      <c r="A64" s="106"/>
      <c r="B64" s="261" t="s">
        <v>154</v>
      </c>
      <c r="C64" s="261"/>
      <c r="D64" s="261"/>
      <c r="E64" s="261"/>
      <c r="F64" s="261"/>
      <c r="G64" s="261"/>
      <c r="H64" s="20"/>
      <c r="I64" s="15" t="str">
        <f>IF(OR(VLOOKUP($B$9,Auswahlwerte!$B$3:$C$6,2,0)=1,VLOOKUP($B$9,Auswahlwerte!$B$3:$C$6,2,0)=3)=TRUE,"Mutter","")</f>
        <v/>
      </c>
      <c r="J64" s="14"/>
      <c r="K64" s="14"/>
      <c r="L64" s="14"/>
      <c r="M64" s="14"/>
      <c r="N64" s="22" t="str">
        <f>IF(OR(VLOOKUP($B$9,Auswahlwerte!$B$3:$C$6,2,0)=2,VLOOKUP($B$9,Auswahlwerte!$B$3:$C$6,2,0)=3)=TRUE,"Vater","")</f>
        <v/>
      </c>
      <c r="O64" s="152"/>
      <c r="P64" s="147"/>
      <c r="Q64" s="106"/>
    </row>
    <row r="65" spans="1:17" s="12" customFormat="1" ht="15.9" customHeight="1" x14ac:dyDescent="0.25">
      <c r="A65" s="107"/>
      <c r="B65" s="228" t="s">
        <v>216</v>
      </c>
      <c r="C65" s="109"/>
      <c r="D65" s="109"/>
      <c r="E65" s="109"/>
      <c r="F65" s="109"/>
      <c r="G65" s="110"/>
      <c r="H65" s="110"/>
      <c r="I65" s="111"/>
      <c r="J65" s="110"/>
      <c r="K65" s="110"/>
      <c r="L65" s="110"/>
      <c r="M65" s="110"/>
      <c r="N65" s="111"/>
      <c r="O65" s="125"/>
      <c r="P65" s="102"/>
      <c r="Q65" s="107"/>
    </row>
    <row r="66" spans="1:17" s="12" customFormat="1" ht="6" customHeight="1" x14ac:dyDescent="0.25">
      <c r="A66" s="107"/>
      <c r="B66" s="233"/>
      <c r="C66" s="109"/>
      <c r="D66" s="109"/>
      <c r="E66" s="109"/>
      <c r="F66" s="109"/>
      <c r="G66" s="110"/>
      <c r="H66" s="110"/>
      <c r="I66" s="111"/>
      <c r="J66" s="110"/>
      <c r="K66" s="110"/>
      <c r="L66" s="110"/>
      <c r="M66" s="110"/>
      <c r="N66" s="111"/>
      <c r="O66" s="125"/>
      <c r="P66" s="102"/>
      <c r="Q66" s="107"/>
    </row>
    <row r="67" spans="1:17" ht="15.9" customHeight="1" x14ac:dyDescent="0.25">
      <c r="A67" s="82"/>
      <c r="B67" s="161" t="s">
        <v>48</v>
      </c>
      <c r="C67" s="171"/>
      <c r="D67" s="171"/>
      <c r="E67" s="159"/>
      <c r="F67" s="159" t="str">
        <f>IF(AND(EinkommenMutterVon&lt;&gt;"",EinkommenMutterBis&lt;&gt;"")=TRUE,"vom " &amp; TEXT(EinkommenMutterVon,"TT.MM.JJJJ") &amp; " bis " &amp; TEXT( EinkommenMutterBis,"TT.MM.JJJJ"),"")</f>
        <v/>
      </c>
      <c r="G67" s="159"/>
      <c r="H67" s="91"/>
      <c r="I67" s="168" t="s">
        <v>43</v>
      </c>
      <c r="J67" s="159"/>
      <c r="K67" s="159" t="str">
        <f>IF(AND(EinkommenVaterVon&lt;&gt;"",EinkommenVaterBis&lt;&gt;"")=TRUE,"vom " &amp; TEXT(EinkommenVaterVon,"TT.MM.JJJJ") &amp; " bis " &amp; TEXT( EinkommenVaterBis,"TT.MM.JJJJ"),"")</f>
        <v/>
      </c>
      <c r="L67" s="159"/>
      <c r="M67" s="91"/>
      <c r="N67" s="168" t="s">
        <v>43</v>
      </c>
      <c r="O67" s="82"/>
      <c r="P67" s="268" t="s">
        <v>81</v>
      </c>
      <c r="Q67" s="82"/>
    </row>
    <row r="68" spans="1:17" s="3" customFormat="1" ht="6" customHeight="1" x14ac:dyDescent="0.25">
      <c r="A68" s="85"/>
      <c r="B68" s="135"/>
      <c r="C68" s="135"/>
      <c r="D68" s="135"/>
      <c r="E68" s="85"/>
      <c r="F68" s="85"/>
      <c r="G68" s="85"/>
      <c r="H68" s="85"/>
      <c r="I68" s="85"/>
      <c r="J68" s="85"/>
      <c r="K68" s="85"/>
      <c r="L68" s="85"/>
      <c r="M68" s="85"/>
      <c r="N68" s="136"/>
      <c r="O68" s="85"/>
      <c r="P68" s="268"/>
      <c r="Q68" s="85"/>
    </row>
    <row r="69" spans="1:17" ht="15.9" customHeight="1" x14ac:dyDescent="0.25">
      <c r="A69" s="82"/>
      <c r="B69" s="244"/>
      <c r="C69" s="244"/>
      <c r="D69" s="244"/>
      <c r="E69" s="82"/>
      <c r="F69" s="225" t="s">
        <v>78</v>
      </c>
      <c r="G69" s="234"/>
      <c r="H69" s="175" t="s">
        <v>35</v>
      </c>
      <c r="I69" s="235">
        <f>IF(Auswahlwerte!C33&lt;&gt;0,Berechnung!G69,0)</f>
        <v>0</v>
      </c>
      <c r="J69" s="174"/>
      <c r="K69" s="225" t="s">
        <v>78</v>
      </c>
      <c r="L69" s="234"/>
      <c r="M69" s="175" t="s">
        <v>35</v>
      </c>
      <c r="N69" s="235">
        <f>IF(Auswahlwerte!C34,L69,0)</f>
        <v>0</v>
      </c>
      <c r="O69" s="82"/>
      <c r="P69" s="268"/>
      <c r="Q69" s="82"/>
    </row>
    <row r="70" spans="1:17" ht="6" customHeight="1" x14ac:dyDescent="0.25">
      <c r="A70" s="82"/>
      <c r="B70" s="244"/>
      <c r="C70" s="244"/>
      <c r="D70" s="244"/>
      <c r="E70" s="82"/>
      <c r="F70" s="225"/>
      <c r="G70" s="225"/>
      <c r="H70" s="175"/>
      <c r="I70" s="235"/>
      <c r="J70" s="174"/>
      <c r="K70" s="225"/>
      <c r="L70" s="225"/>
      <c r="M70" s="175"/>
      <c r="N70" s="235"/>
      <c r="O70" s="82"/>
      <c r="P70" s="102"/>
      <c r="Q70" s="82"/>
    </row>
    <row r="71" spans="1:17" ht="15.9" customHeight="1" x14ac:dyDescent="0.25">
      <c r="A71" s="82"/>
      <c r="B71" s="244"/>
      <c r="C71" s="244"/>
      <c r="D71" s="244"/>
      <c r="E71" s="82"/>
      <c r="F71" s="248" t="s">
        <v>75</v>
      </c>
      <c r="G71" s="248"/>
      <c r="H71" s="174"/>
      <c r="I71" s="174"/>
      <c r="J71" s="174"/>
      <c r="K71" s="248" t="s">
        <v>75</v>
      </c>
      <c r="L71" s="248"/>
      <c r="M71" s="174"/>
      <c r="N71" s="174"/>
      <c r="O71" s="82"/>
      <c r="P71" s="262" t="s">
        <v>212</v>
      </c>
      <c r="Q71" s="82"/>
    </row>
    <row r="72" spans="1:17" ht="15.9" customHeight="1" x14ac:dyDescent="0.25">
      <c r="A72" s="82"/>
      <c r="B72" s="244"/>
      <c r="C72" s="244"/>
      <c r="D72" s="244"/>
      <c r="E72" s="82"/>
      <c r="F72" s="174" t="s">
        <v>161</v>
      </c>
      <c r="G72" s="137"/>
      <c r="H72" s="174"/>
      <c r="I72" s="174"/>
      <c r="J72" s="174"/>
      <c r="K72" s="174" t="s">
        <v>161</v>
      </c>
      <c r="L72" s="137"/>
      <c r="M72" s="174"/>
      <c r="N72" s="174"/>
      <c r="O72" s="82"/>
      <c r="P72" s="262"/>
      <c r="Q72" s="82"/>
    </row>
    <row r="73" spans="1:17" ht="15.9" customHeight="1" x14ac:dyDescent="0.25">
      <c r="A73" s="82"/>
      <c r="B73" s="244"/>
      <c r="C73" s="244"/>
      <c r="D73" s="244"/>
      <c r="E73" s="82"/>
      <c r="F73" s="174" t="s">
        <v>162</v>
      </c>
      <c r="G73" s="236">
        <f>kmPauschale</f>
        <v>5.2</v>
      </c>
      <c r="H73" s="175"/>
      <c r="I73" s="235"/>
      <c r="J73" s="174"/>
      <c r="K73" s="174" t="s">
        <v>162</v>
      </c>
      <c r="L73" s="236">
        <f>kmPauschale</f>
        <v>5.2</v>
      </c>
      <c r="M73" s="175"/>
      <c r="N73" s="235"/>
      <c r="O73" s="82"/>
      <c r="P73" s="262"/>
      <c r="Q73" s="82"/>
    </row>
    <row r="74" spans="1:17" ht="15.9" customHeight="1" x14ac:dyDescent="0.25">
      <c r="A74" s="82"/>
      <c r="B74" s="244"/>
      <c r="C74" s="244"/>
      <c r="D74" s="244"/>
      <c r="E74" s="82"/>
      <c r="F74" s="174" t="s">
        <v>209</v>
      </c>
      <c r="G74" s="231"/>
      <c r="H74" s="175"/>
      <c r="I74" s="235"/>
      <c r="J74" s="174"/>
      <c r="K74" s="174" t="s">
        <v>209</v>
      </c>
      <c r="L74" s="231"/>
      <c r="M74" s="175"/>
      <c r="N74" s="235"/>
      <c r="O74" s="82"/>
      <c r="P74" s="262"/>
      <c r="Q74" s="82"/>
    </row>
    <row r="75" spans="1:17" ht="15.9" customHeight="1" x14ac:dyDescent="0.25">
      <c r="A75" s="82"/>
      <c r="B75" s="244"/>
      <c r="C75" s="244"/>
      <c r="D75" s="244"/>
      <c r="E75" s="82"/>
      <c r="F75" s="174" t="s">
        <v>211</v>
      </c>
      <c r="G75" s="231"/>
      <c r="H75" s="175"/>
      <c r="I75" s="240" t="str">
        <f>IF(G76&gt;MaxPKW,"Maximalbetrag:","")</f>
        <v/>
      </c>
      <c r="J75" s="174"/>
      <c r="K75" s="174" t="s">
        <v>211</v>
      </c>
      <c r="L75" s="231"/>
      <c r="M75" s="175"/>
      <c r="N75" s="237" t="str">
        <f>IF(L76&gt;MaxPKW,"Maximalbetrag:","")</f>
        <v/>
      </c>
      <c r="O75" s="82"/>
      <c r="P75" s="262"/>
      <c r="Q75" s="82"/>
    </row>
    <row r="76" spans="1:17" ht="15.9" customHeight="1" x14ac:dyDescent="0.25">
      <c r="A76" s="82"/>
      <c r="B76" s="244"/>
      <c r="C76" s="244"/>
      <c r="D76" s="244"/>
      <c r="E76" s="82"/>
      <c r="F76" s="176" t="str">
        <f>IF(G74="",0,G74) &amp; " / " &amp; IF(G75="",0,G75) &amp;" Tage  ="</f>
        <v>0 / 0 Tage  =</v>
      </c>
      <c r="G76" s="236">
        <f>IF(OR(G74="",G75="",G74=0,G75=0)=TRUE,0,G72*kmPauschale*G74/G75)</f>
        <v>0</v>
      </c>
      <c r="H76" s="175" t="s">
        <v>35</v>
      </c>
      <c r="I76" s="235">
        <f>IF(Auswahlwerte!C33&lt;&gt;0,IF(G76&gt;MaxPKW,MaxPKW,Berechnung!G76),0)</f>
        <v>0</v>
      </c>
      <c r="J76" s="174"/>
      <c r="K76" s="176" t="str">
        <f>IF(L74="",0,L74) &amp; " / " &amp; IF(L75="",0,L75) &amp;" Tage  ="</f>
        <v>0 / 0 Tage  =</v>
      </c>
      <c r="L76" s="236">
        <f>IF(OR(L74="",L75="",L74=0,L75=0)=TRUE,0,L72*kmPauschale*L74/L75)</f>
        <v>0</v>
      </c>
      <c r="M76" s="175" t="s">
        <v>35</v>
      </c>
      <c r="N76" s="235">
        <f>IF(Auswahlwerte!C34&lt;&gt;0,IF(L76&gt;MaxPKW,MaxPKW,Berechnung!L76),0)</f>
        <v>0</v>
      </c>
      <c r="O76" s="82"/>
      <c r="P76" s="262"/>
      <c r="Q76" s="82"/>
    </row>
    <row r="77" spans="1:17" ht="6" customHeight="1" x14ac:dyDescent="0.25">
      <c r="A77" s="82"/>
      <c r="B77" s="244"/>
      <c r="C77" s="244"/>
      <c r="D77" s="244"/>
      <c r="E77" s="82"/>
      <c r="F77" s="174"/>
      <c r="G77" s="236"/>
      <c r="H77" s="175"/>
      <c r="I77" s="238"/>
      <c r="J77" s="174"/>
      <c r="K77" s="174"/>
      <c r="L77" s="236"/>
      <c r="M77" s="175"/>
      <c r="N77" s="238"/>
      <c r="O77" s="82"/>
      <c r="P77" s="262"/>
      <c r="Q77" s="82"/>
    </row>
    <row r="78" spans="1:17" ht="15.9" customHeight="1" x14ac:dyDescent="0.25">
      <c r="A78" s="82"/>
      <c r="B78" s="244"/>
      <c r="C78" s="244"/>
      <c r="D78" s="244"/>
      <c r="E78" s="82"/>
      <c r="F78" s="225" t="s">
        <v>217</v>
      </c>
      <c r="G78" s="234"/>
      <c r="H78" s="175" t="s">
        <v>35</v>
      </c>
      <c r="I78" s="235">
        <f>IF(Auswahlwerte!C33&lt;&gt;0,G78,0)</f>
        <v>0</v>
      </c>
      <c r="J78" s="174"/>
      <c r="K78" s="225" t="s">
        <v>217</v>
      </c>
      <c r="L78" s="234"/>
      <c r="M78" s="175" t="s">
        <v>35</v>
      </c>
      <c r="N78" s="235">
        <f>IF(Auswahlwerte!C34&lt;&gt;0,L78,0)</f>
        <v>0</v>
      </c>
      <c r="O78" s="82"/>
      <c r="P78" s="262"/>
      <c r="Q78" s="82"/>
    </row>
    <row r="79" spans="1:17" ht="15.9" customHeight="1" x14ac:dyDescent="0.25">
      <c r="A79" s="82"/>
      <c r="B79" s="244"/>
      <c r="C79" s="244"/>
      <c r="D79" s="244"/>
      <c r="E79" s="82"/>
      <c r="F79" s="225" t="s">
        <v>218</v>
      </c>
      <c r="G79" s="234"/>
      <c r="H79" s="175" t="s">
        <v>35</v>
      </c>
      <c r="I79" s="235">
        <f>IF(Auswahlwerte!C33&lt;&gt;0,G79,0)</f>
        <v>0</v>
      </c>
      <c r="J79" s="174"/>
      <c r="K79" s="225" t="s">
        <v>218</v>
      </c>
      <c r="L79" s="234"/>
      <c r="M79" s="175" t="s">
        <v>35</v>
      </c>
      <c r="N79" s="235">
        <f>IF(Auswahlwerte!C34&lt;&gt;0,L79,0)</f>
        <v>0</v>
      </c>
      <c r="O79" s="82"/>
      <c r="P79" s="262"/>
      <c r="Q79" s="82"/>
    </row>
    <row r="80" spans="1:17" ht="6" customHeight="1" x14ac:dyDescent="0.25">
      <c r="A80" s="82"/>
      <c r="B80" s="244"/>
      <c r="C80" s="244"/>
      <c r="D80" s="244"/>
      <c r="E80" s="82"/>
      <c r="F80" s="225"/>
      <c r="G80" s="225"/>
      <c r="H80" s="175"/>
      <c r="I80" s="238"/>
      <c r="J80" s="174"/>
      <c r="K80" s="225"/>
      <c r="L80" s="225"/>
      <c r="M80" s="175"/>
      <c r="N80" s="238"/>
      <c r="O80" s="82"/>
      <c r="P80" s="262"/>
      <c r="Q80" s="82"/>
    </row>
    <row r="81" spans="1:17" ht="15.9" customHeight="1" x14ac:dyDescent="0.25">
      <c r="A81" s="82"/>
      <c r="B81" s="244"/>
      <c r="C81" s="244"/>
      <c r="D81" s="244"/>
      <c r="E81" s="82"/>
      <c r="F81" s="264" t="s">
        <v>76</v>
      </c>
      <c r="G81" s="264"/>
      <c r="H81" s="174"/>
      <c r="I81" s="174"/>
      <c r="J81" s="174"/>
      <c r="K81" s="264" t="s">
        <v>76</v>
      </c>
      <c r="L81" s="264"/>
      <c r="M81" s="174"/>
      <c r="N81" s="174"/>
      <c r="O81" s="82"/>
      <c r="P81" s="262"/>
      <c r="Q81" s="82"/>
    </row>
    <row r="82" spans="1:17" ht="15.9" customHeight="1" x14ac:dyDescent="0.25">
      <c r="A82" s="82"/>
      <c r="B82" s="244"/>
      <c r="C82" s="244"/>
      <c r="D82" s="244"/>
      <c r="E82" s="82"/>
      <c r="F82" s="174" t="s">
        <v>77</v>
      </c>
      <c r="G82" s="138"/>
      <c r="H82" s="174"/>
      <c r="I82" s="174"/>
      <c r="J82" s="174"/>
      <c r="K82" s="174" t="s">
        <v>77</v>
      </c>
      <c r="L82" s="138"/>
      <c r="M82" s="174"/>
      <c r="N82" s="174"/>
      <c r="O82" s="82"/>
      <c r="P82" s="258" t="s">
        <v>89</v>
      </c>
      <c r="Q82" s="82"/>
    </row>
    <row r="83" spans="1:17" ht="15.9" customHeight="1" x14ac:dyDescent="0.25">
      <c r="A83" s="82"/>
      <c r="B83" s="244"/>
      <c r="C83" s="244"/>
      <c r="D83" s="244"/>
      <c r="E83" s="82"/>
      <c r="F83" s="174" t="s">
        <v>160</v>
      </c>
      <c r="G83" s="236">
        <f>Arbeitsmittelpauschale</f>
        <v>5.2</v>
      </c>
      <c r="H83" s="175" t="s">
        <v>35</v>
      </c>
      <c r="I83" s="235">
        <f>IF(Auswahlwerte!C33&lt;&gt;0,IF(G82&gt;G83,G82,G83),0)</f>
        <v>0</v>
      </c>
      <c r="J83" s="174"/>
      <c r="K83" s="174" t="s">
        <v>160</v>
      </c>
      <c r="L83" s="236">
        <f>Arbeitsmittelpauschale</f>
        <v>5.2</v>
      </c>
      <c r="M83" s="175" t="s">
        <v>35</v>
      </c>
      <c r="N83" s="235">
        <f>IF(Auswahlwerte!C34&lt;&gt;0,IF(L82&gt;L83,L82,L83),0)</f>
        <v>0</v>
      </c>
      <c r="O83" s="82"/>
      <c r="P83" s="258"/>
      <c r="Q83" s="82"/>
    </row>
    <row r="84" spans="1:17" ht="6" customHeight="1" x14ac:dyDescent="0.25">
      <c r="A84" s="82"/>
      <c r="B84" s="244"/>
      <c r="C84" s="244"/>
      <c r="D84" s="244"/>
      <c r="E84" s="82"/>
      <c r="F84" s="174"/>
      <c r="G84" s="236"/>
      <c r="H84" s="175"/>
      <c r="I84" s="238"/>
      <c r="J84" s="174"/>
      <c r="K84" s="174"/>
      <c r="L84" s="236"/>
      <c r="M84" s="175"/>
      <c r="N84" s="238"/>
      <c r="O84" s="82"/>
      <c r="P84" s="102"/>
      <c r="Q84" s="82"/>
    </row>
    <row r="85" spans="1:17" ht="15.9" customHeight="1" x14ac:dyDescent="0.25">
      <c r="A85" s="82"/>
      <c r="B85" s="244"/>
      <c r="C85" s="244"/>
      <c r="D85" s="244"/>
      <c r="E85" s="82"/>
      <c r="F85" s="225" t="s">
        <v>219</v>
      </c>
      <c r="G85" s="138"/>
      <c r="H85" s="175" t="s">
        <v>35</v>
      </c>
      <c r="I85" s="235">
        <f>IF(Auswahlwerte!C33&lt;&gt;0,G85,0)</f>
        <v>0</v>
      </c>
      <c r="J85" s="174"/>
      <c r="K85" s="225" t="s">
        <v>219</v>
      </c>
      <c r="L85" s="138"/>
      <c r="M85" s="175" t="s">
        <v>35</v>
      </c>
      <c r="N85" s="235">
        <f>IF(Auswahlwerte!C34&lt;&gt;0,L85,0)</f>
        <v>0</v>
      </c>
      <c r="O85" s="82"/>
      <c r="P85" s="102" t="s">
        <v>90</v>
      </c>
      <c r="Q85" s="82"/>
    </row>
    <row r="86" spans="1:17" ht="6" customHeight="1" x14ac:dyDescent="0.25">
      <c r="A86" s="82"/>
      <c r="B86" s="244"/>
      <c r="C86" s="244"/>
      <c r="D86" s="244"/>
      <c r="E86" s="82"/>
      <c r="F86" s="225"/>
      <c r="G86" s="225"/>
      <c r="H86" s="175"/>
      <c r="I86" s="238"/>
      <c r="J86" s="174"/>
      <c r="K86" s="225"/>
      <c r="L86" s="225"/>
      <c r="M86" s="175"/>
      <c r="N86" s="238"/>
      <c r="O86" s="82"/>
      <c r="P86" s="102"/>
      <c r="Q86" s="82"/>
    </row>
    <row r="87" spans="1:17" ht="15.9" customHeight="1" x14ac:dyDescent="0.25">
      <c r="A87" s="82"/>
      <c r="B87" s="244"/>
      <c r="C87" s="244"/>
      <c r="D87" s="244"/>
      <c r="E87" s="82"/>
      <c r="F87" s="264" t="s">
        <v>79</v>
      </c>
      <c r="G87" s="264"/>
      <c r="H87" s="174"/>
      <c r="I87" s="174"/>
      <c r="J87" s="174"/>
      <c r="K87" s="264" t="s">
        <v>79</v>
      </c>
      <c r="L87" s="264"/>
      <c r="M87" s="174"/>
      <c r="N87" s="174"/>
      <c r="O87" s="82"/>
      <c r="P87" s="102"/>
      <c r="Q87" s="82"/>
    </row>
    <row r="88" spans="1:17" ht="15.9" customHeight="1" x14ac:dyDescent="0.25">
      <c r="A88" s="82"/>
      <c r="B88" s="244"/>
      <c r="C88" s="244"/>
      <c r="D88" s="244"/>
      <c r="E88" s="82"/>
      <c r="F88" s="174" t="s">
        <v>77</v>
      </c>
      <c r="G88" s="138"/>
      <c r="H88" s="174"/>
      <c r="I88" s="239" t="str">
        <f>IF(G88&gt;MaxbetragDoppelterHH,"Maximalbetrag:","")</f>
        <v/>
      </c>
      <c r="J88" s="174"/>
      <c r="K88" s="174" t="s">
        <v>77</v>
      </c>
      <c r="L88" s="138"/>
      <c r="M88" s="174"/>
      <c r="N88" s="239" t="str">
        <f>IF(L88&gt;MaxbetragDoppelterHH,"Maximalbetrag:","")</f>
        <v/>
      </c>
      <c r="O88" s="82"/>
      <c r="P88" s="102" t="s">
        <v>82</v>
      </c>
      <c r="Q88" s="82"/>
    </row>
    <row r="89" spans="1:17" ht="15.9" customHeight="1" x14ac:dyDescent="0.25">
      <c r="A89" s="82"/>
      <c r="B89" s="244"/>
      <c r="C89" s="244"/>
      <c r="D89" s="244"/>
      <c r="E89" s="82"/>
      <c r="F89" s="174" t="s">
        <v>80</v>
      </c>
      <c r="G89" s="236">
        <f>MaxbetragDoppelterHH</f>
        <v>130</v>
      </c>
      <c r="H89" s="175" t="s">
        <v>35</v>
      </c>
      <c r="I89" s="235">
        <f>IF(Auswahlwerte!C33&lt;&gt;0,IF(G88&gt;G89,G89,G88),0)</f>
        <v>0</v>
      </c>
      <c r="J89" s="174"/>
      <c r="K89" s="174" t="s">
        <v>80</v>
      </c>
      <c r="L89" s="236">
        <f>MaxbetragDoppelterHH</f>
        <v>130</v>
      </c>
      <c r="M89" s="175" t="s">
        <v>35</v>
      </c>
      <c r="N89" s="235">
        <f>IF(Auswahlwerte!C34&lt;&gt;0,IF(L88&gt;L89,L89,L88),0)</f>
        <v>0</v>
      </c>
      <c r="O89" s="82"/>
      <c r="P89" s="102" t="s">
        <v>83</v>
      </c>
      <c r="Q89" s="82"/>
    </row>
    <row r="90" spans="1:17" ht="6" customHeight="1" x14ac:dyDescent="0.25">
      <c r="A90" s="82"/>
      <c r="B90" s="82"/>
      <c r="C90" s="82"/>
      <c r="D90" s="82"/>
      <c r="E90" s="82"/>
      <c r="F90" s="82"/>
      <c r="G90" s="82"/>
      <c r="H90" s="82"/>
      <c r="I90" s="82"/>
      <c r="J90" s="82"/>
      <c r="K90" s="82"/>
      <c r="L90" s="82"/>
      <c r="M90" s="82"/>
      <c r="N90" s="88"/>
      <c r="O90" s="82"/>
      <c r="P90" s="102"/>
      <c r="Q90" s="82"/>
    </row>
    <row r="91" spans="1:17" s="16" customFormat="1" ht="15.9" customHeight="1" x14ac:dyDescent="0.25">
      <c r="A91" s="106"/>
      <c r="B91" s="261" t="s">
        <v>144</v>
      </c>
      <c r="C91" s="261"/>
      <c r="D91" s="261"/>
      <c r="E91" s="261"/>
      <c r="F91" s="261"/>
      <c r="G91" s="261"/>
      <c r="H91" s="20"/>
      <c r="I91" s="15" t="str">
        <f>IF(OR(VLOOKUP($B$9,Auswahlwerte!$B$3:$C$6,2,0)=1,VLOOKUP($B$9,Auswahlwerte!$B$3:$C$6,2,0)=3)=TRUE,"Mutter","")</f>
        <v/>
      </c>
      <c r="J91" s="14"/>
      <c r="K91" s="14"/>
      <c r="L91" s="14"/>
      <c r="M91" s="14"/>
      <c r="N91" s="22" t="str">
        <f>IF(OR(VLOOKUP($B$9,Auswahlwerte!$B$3:$C$6,2,0)=2,VLOOKUP($B$9,Auswahlwerte!$B$3:$C$6,2,0)=3)=TRUE,"Vater","")</f>
        <v/>
      </c>
      <c r="O91" s="152"/>
      <c r="P91" s="147"/>
      <c r="Q91" s="106"/>
    </row>
    <row r="92" spans="1:17" s="3" customFormat="1" ht="6" customHeight="1" x14ac:dyDescent="0.25">
      <c r="A92" s="85"/>
      <c r="B92" s="135"/>
      <c r="C92" s="135"/>
      <c r="D92" s="135"/>
      <c r="E92" s="85"/>
      <c r="F92" s="85"/>
      <c r="G92" s="85"/>
      <c r="H92" s="85"/>
      <c r="I92" s="85"/>
      <c r="J92" s="85"/>
      <c r="K92" s="85"/>
      <c r="L92" s="85"/>
      <c r="M92" s="85"/>
      <c r="N92" s="136"/>
      <c r="O92" s="85"/>
      <c r="P92" s="104"/>
      <c r="Q92" s="85"/>
    </row>
    <row r="93" spans="1:17" ht="15.9" customHeight="1" x14ac:dyDescent="0.25">
      <c r="A93" s="82"/>
      <c r="B93" s="161" t="s">
        <v>48</v>
      </c>
      <c r="C93" s="171"/>
      <c r="D93" s="171"/>
      <c r="E93" s="159"/>
      <c r="F93" s="159" t="str">
        <f>IF(AND(EinkommenMutterVon&lt;&gt;"",EinkommenMutterBis&lt;&gt;"")=TRUE,"vom " &amp; TEXT(EinkommenMutterVon,"TT.MM.JJJJ") &amp; " bis " &amp; TEXT( EinkommenMutterBis,"TT.MM.JJJJ"),"")</f>
        <v/>
      </c>
      <c r="G93" s="159"/>
      <c r="H93" s="91"/>
      <c r="I93" s="168" t="s">
        <v>43</v>
      </c>
      <c r="J93" s="159"/>
      <c r="K93" s="159" t="str">
        <f>IF(AND(EinkommenVaterVon&lt;&gt;"",EinkommenVaterBis&lt;&gt;"")=TRUE,"vom " &amp; TEXT(EinkommenVaterVon,"TT.MM.JJJJ") &amp; " bis " &amp; TEXT( EinkommenVaterBis,"TT.MM.JJJJ"),"")</f>
        <v/>
      </c>
      <c r="L93" s="159"/>
      <c r="M93" s="91"/>
      <c r="N93" s="168" t="s">
        <v>43</v>
      </c>
      <c r="O93" s="82"/>
      <c r="P93" s="263" t="str">
        <f>"Beiträge zur Altersvorsorge werden bis maximal " &amp; Parameter!C8 &amp; "% des Brutto-einkommens anerkannt, nach Grund/Höhe angemessene Beiträge zu sonstigen Versicherungen (Hausrat, Unfall, Risiko-LV, etc.) mit bis zu " &amp; Parameter!C9 &amp; "% des Nettoeinkommens der berechneten Eltern(teile). Siehe auch"</f>
        <v>Beiträge zur Altersvorsorge werden bis maximal 4% des Brutto-einkommens anerkannt, nach Grund/Höhe angemessene Beiträge zu sonstigen Versicherungen (Hausrat, Unfall, Risiko-LV, etc.) mit bis zu 3% des Nettoeinkommens der berechneten Eltern(teile). Siehe auch</v>
      </c>
      <c r="Q93" s="82"/>
    </row>
    <row r="94" spans="1:17" ht="15.9" customHeight="1" x14ac:dyDescent="0.25">
      <c r="A94" s="82"/>
      <c r="B94" s="244"/>
      <c r="C94" s="244"/>
      <c r="D94" s="244"/>
      <c r="E94" s="82"/>
      <c r="F94" s="241" t="s">
        <v>163</v>
      </c>
      <c r="G94" s="241"/>
      <c r="H94" s="115" t="s">
        <v>35</v>
      </c>
      <c r="I94" s="132"/>
      <c r="J94" s="82"/>
      <c r="K94" s="241" t="s">
        <v>163</v>
      </c>
      <c r="L94" s="241"/>
      <c r="M94" s="115" t="s">
        <v>35</v>
      </c>
      <c r="N94" s="133"/>
      <c r="O94" s="82"/>
      <c r="P94" s="263"/>
      <c r="Q94" s="82"/>
    </row>
    <row r="95" spans="1:17" ht="15.9" customHeight="1" x14ac:dyDescent="0.25">
      <c r="A95" s="82"/>
      <c r="B95" s="244"/>
      <c r="C95" s="244"/>
      <c r="D95" s="244"/>
      <c r="E95" s="82"/>
      <c r="F95" s="241" t="s">
        <v>84</v>
      </c>
      <c r="G95" s="241"/>
      <c r="H95" s="115" t="s">
        <v>35</v>
      </c>
      <c r="I95" s="132"/>
      <c r="J95" s="82"/>
      <c r="K95" s="241" t="s">
        <v>84</v>
      </c>
      <c r="L95" s="241"/>
      <c r="M95" s="115" t="s">
        <v>35</v>
      </c>
      <c r="N95" s="133"/>
      <c r="O95" s="82"/>
      <c r="P95" s="263"/>
      <c r="Q95" s="82"/>
    </row>
    <row r="96" spans="1:17" ht="15.9" customHeight="1" x14ac:dyDescent="0.25">
      <c r="A96" s="82"/>
      <c r="B96" s="244"/>
      <c r="C96" s="244"/>
      <c r="D96" s="244"/>
      <c r="E96" s="82"/>
      <c r="F96" s="241" t="s">
        <v>84</v>
      </c>
      <c r="G96" s="241"/>
      <c r="H96" s="115" t="s">
        <v>35</v>
      </c>
      <c r="I96" s="132"/>
      <c r="J96" s="82"/>
      <c r="K96" s="241" t="s">
        <v>84</v>
      </c>
      <c r="L96" s="241"/>
      <c r="M96" s="115" t="s">
        <v>35</v>
      </c>
      <c r="N96" s="133"/>
      <c r="O96" s="82"/>
      <c r="P96" s="263"/>
      <c r="Q96" s="82"/>
    </row>
    <row r="97" spans="1:17" s="9" customFormat="1" ht="15.9" customHeight="1" x14ac:dyDescent="0.25">
      <c r="A97" s="107"/>
      <c r="B97" s="107" t="s">
        <v>91</v>
      </c>
      <c r="C97" s="107"/>
      <c r="D97" s="107"/>
      <c r="E97" s="107"/>
      <c r="F97" s="259" t="str">
        <f>IF(F9&lt;&gt;"",F9,"")</f>
        <v/>
      </c>
      <c r="G97" s="259"/>
      <c r="H97" s="115" t="s">
        <v>45</v>
      </c>
      <c r="I97" s="128">
        <f>IF(I62-I69-I76-I78-I79-I83-I85-I89-SUM(I94:I96)&lt;0,0,I62-I69-I76-I78-I79-I83-I85-I89-SUM(I94:I96))</f>
        <v>0</v>
      </c>
      <c r="J97" s="125"/>
      <c r="K97" s="259" t="str">
        <f>IF(K9&lt;&gt;"",K9,"")</f>
        <v/>
      </c>
      <c r="L97" s="259"/>
      <c r="M97" s="115" t="s">
        <v>45</v>
      </c>
      <c r="N97" s="229">
        <f>IF(N62-N69-N76-N78-N79-N83-N85-N89-SUM(N94:N96)&lt;0,0,N62-N69-N76-N78-N79-N83-N85-N89-SUM(N94:N96))</f>
        <v>0</v>
      </c>
      <c r="O97" s="125"/>
      <c r="P97" s="150" t="s">
        <v>59</v>
      </c>
      <c r="Q97" s="107"/>
    </row>
    <row r="98" spans="1:17" s="9" customFormat="1" ht="15.9" customHeight="1" x14ac:dyDescent="0.25">
      <c r="A98" s="107"/>
      <c r="B98" s="112"/>
      <c r="C98" s="107"/>
      <c r="D98" s="107"/>
      <c r="E98" s="107"/>
      <c r="F98" s="130"/>
      <c r="G98" s="130"/>
      <c r="H98" s="115"/>
      <c r="I98" s="128"/>
      <c r="J98" s="125"/>
      <c r="K98" s="130" t="str">
        <f>IF(F97&lt;&gt;"",F97,"")</f>
        <v/>
      </c>
      <c r="L98" s="130"/>
      <c r="M98" s="115" t="s">
        <v>33</v>
      </c>
      <c r="N98" s="128">
        <f>I97</f>
        <v>0</v>
      </c>
      <c r="O98" s="125"/>
      <c r="P98" s="153"/>
      <c r="Q98" s="107"/>
    </row>
    <row r="99" spans="1:17" s="9" customFormat="1" ht="15.9" customHeight="1" x14ac:dyDescent="0.25">
      <c r="A99" s="107"/>
      <c r="B99" s="112" t="s">
        <v>202</v>
      </c>
      <c r="C99" s="107"/>
      <c r="D99" s="107"/>
      <c r="E99" s="107"/>
      <c r="F99" s="130"/>
      <c r="G99" s="130"/>
      <c r="H99" s="115"/>
      <c r="I99" s="265" t="s">
        <v>92</v>
      </c>
      <c r="J99" s="265"/>
      <c r="K99" s="265"/>
      <c r="L99" s="265"/>
      <c r="M99" s="115" t="s">
        <v>45</v>
      </c>
      <c r="N99" s="128">
        <f>SUM(N97:N98)</f>
        <v>0</v>
      </c>
      <c r="O99" s="125"/>
      <c r="P99" s="102" t="s">
        <v>147</v>
      </c>
      <c r="Q99" s="107"/>
    </row>
    <row r="100" spans="1:17" ht="6" customHeight="1" x14ac:dyDescent="0.25">
      <c r="A100" s="82"/>
      <c r="B100" s="82"/>
      <c r="C100" s="82"/>
      <c r="D100" s="82"/>
      <c r="E100" s="82"/>
      <c r="F100" s="82"/>
      <c r="G100" s="82"/>
      <c r="H100" s="82"/>
      <c r="I100" s="82"/>
      <c r="J100" s="82"/>
      <c r="K100" s="82"/>
      <c r="L100" s="82"/>
      <c r="M100" s="82"/>
      <c r="N100" s="88"/>
      <c r="O100" s="82"/>
      <c r="P100" s="102"/>
      <c r="Q100" s="82"/>
    </row>
    <row r="101" spans="1:17" s="16" customFormat="1" ht="15.9" customHeight="1" x14ac:dyDescent="0.25">
      <c r="A101" s="106"/>
      <c r="B101" s="247" t="s">
        <v>155</v>
      </c>
      <c r="C101" s="247"/>
      <c r="D101" s="247"/>
      <c r="E101" s="247"/>
      <c r="F101" s="247"/>
      <c r="G101" s="247"/>
      <c r="H101" s="247"/>
      <c r="I101" s="247"/>
      <c r="J101" s="17"/>
      <c r="K101" s="21"/>
      <c r="L101" s="260" t="str">
        <f>IF(VLOOKUP($B$9,Auswahlwerte!$B$3:$C$6,2,0)=1,"Mutter",IF(VLOOKUP($B$9,Auswahlwerte!$B$3:$C$6,2,0)=2,"Vater",IF(VLOOKUP($B$9,Auswahlwerte!$B$3:$C$6,2,0)=3,"","")&amp;" mtl. gesamt"))</f>
        <v xml:space="preserve"> mtl. gesamt</v>
      </c>
      <c r="M101" s="260"/>
      <c r="N101" s="260"/>
      <c r="O101" s="106"/>
      <c r="P101" s="147"/>
      <c r="Q101" s="106"/>
    </row>
    <row r="102" spans="1:17" s="3" customFormat="1" ht="6" customHeight="1" x14ac:dyDescent="0.25">
      <c r="A102" s="85"/>
      <c r="B102" s="135"/>
      <c r="C102" s="135"/>
      <c r="D102" s="135"/>
      <c r="E102" s="85"/>
      <c r="F102" s="85"/>
      <c r="G102" s="85"/>
      <c r="H102" s="85"/>
      <c r="I102" s="85"/>
      <c r="J102" s="85"/>
      <c r="K102" s="85"/>
      <c r="L102" s="85"/>
      <c r="M102" s="85"/>
      <c r="N102" s="136"/>
      <c r="O102" s="85"/>
      <c r="P102" s="104"/>
      <c r="Q102" s="85"/>
    </row>
    <row r="103" spans="1:17" s="9" customFormat="1" ht="15.9" customHeight="1" x14ac:dyDescent="0.25">
      <c r="A103" s="107"/>
      <c r="B103" s="107" t="str">
        <f>"Grundbetrag für einen Elternteil / Antragsteller(in): 200% des Regelbedarfssatzes von " &amp; TEXT(RBS,"#.##0,00 €;[Rot]-#.##0,00 €")</f>
        <v>Grundbetrag für einen Elternteil / Antragsteller(in): 200% des Regelbedarfssatzes von 0,00 €</v>
      </c>
      <c r="C103" s="107"/>
      <c r="D103" s="107"/>
      <c r="E103" s="107"/>
      <c r="F103" s="107"/>
      <c r="G103" s="107"/>
      <c r="H103" s="107"/>
      <c r="I103" s="107"/>
      <c r="J103" s="107"/>
      <c r="K103" s="107"/>
      <c r="L103" s="107"/>
      <c r="M103" s="107"/>
      <c r="N103" s="128">
        <f>GrundbetragAntragsteller</f>
        <v>0</v>
      </c>
      <c r="O103" s="107"/>
      <c r="P103" s="102" t="s">
        <v>158</v>
      </c>
      <c r="Q103" s="107"/>
    </row>
    <row r="104" spans="1:17" s="9" customFormat="1" ht="15.9" customHeight="1" x14ac:dyDescent="0.25">
      <c r="A104" s="107"/>
      <c r="B104" s="107" t="str">
        <f>"Familienzuschläge in Höhe von 70% des Regelbedarfssatzes von " &amp; TEXT(RBS,"#.##0,00 €;[Rot]-#.##0,00 €")</f>
        <v>Familienzuschläge in Höhe von 70% des Regelbedarfssatzes von 0,00 €</v>
      </c>
      <c r="C104" s="107"/>
      <c r="D104" s="107"/>
      <c r="E104" s="107"/>
      <c r="F104" s="107"/>
      <c r="G104" s="107"/>
      <c r="H104" s="107"/>
      <c r="I104" s="107"/>
      <c r="J104" s="107"/>
      <c r="K104" s="107"/>
      <c r="L104" s="107"/>
      <c r="M104" s="114"/>
      <c r="N104" s="128"/>
      <c r="O104" s="107"/>
      <c r="P104" s="102"/>
      <c r="Q104" s="107"/>
    </row>
    <row r="105" spans="1:17" s="9" customFormat="1" ht="15.9" customHeight="1" x14ac:dyDescent="0.25">
      <c r="A105" s="107"/>
      <c r="B105" s="139" t="s">
        <v>213</v>
      </c>
      <c r="C105" s="107"/>
      <c r="D105" s="107"/>
      <c r="E105" s="107"/>
      <c r="F105" s="107"/>
      <c r="G105" s="107"/>
      <c r="H105" s="107"/>
      <c r="I105" s="107"/>
      <c r="J105" s="107"/>
      <c r="K105" s="107"/>
      <c r="L105" s="107"/>
      <c r="M105" s="114" t="s">
        <v>33</v>
      </c>
      <c r="N105" s="128">
        <f>IF(VLOOKUP(Berechnung!B9,Auswahlwerte!$B$3:$C$6,2,0)=3,Familienzuschlag,0)</f>
        <v>0</v>
      </c>
      <c r="O105" s="107"/>
      <c r="P105" s="102" t="s">
        <v>159</v>
      </c>
      <c r="Q105" s="107"/>
    </row>
    <row r="106" spans="1:17" s="9" customFormat="1" ht="15.9" customHeight="1" x14ac:dyDescent="0.25">
      <c r="A106" s="107"/>
      <c r="B106" s="139" t="str">
        <f>"b) für " &amp; B6 &amp; " (betreutes Kind)"</f>
        <v>b) für  (betreutes Kind)</v>
      </c>
      <c r="C106" s="107"/>
      <c r="D106" s="107"/>
      <c r="E106" s="107"/>
      <c r="F106" s="107"/>
      <c r="G106" s="107"/>
      <c r="H106" s="107"/>
      <c r="I106" s="107"/>
      <c r="J106" s="107"/>
      <c r="K106" s="107"/>
      <c r="L106" s="107"/>
      <c r="M106" s="114" t="s">
        <v>33</v>
      </c>
      <c r="N106" s="128">
        <f>Familienzuschlag</f>
        <v>0</v>
      </c>
      <c r="O106" s="107"/>
      <c r="P106" s="102"/>
      <c r="Q106" s="107"/>
    </row>
    <row r="107" spans="1:17" s="9" customFormat="1" ht="15.9" customHeight="1" x14ac:dyDescent="0.25">
      <c r="A107" s="107"/>
      <c r="B107" s="139" t="s">
        <v>131</v>
      </c>
      <c r="C107" s="98"/>
      <c r="D107" s="107" t="str">
        <f>" weitere, überwiegend durch o.g. Eltern(teile) unterhaltene " &amp; IF(C107=1,"Person","Personen")</f>
        <v xml:space="preserve"> weitere, überwiegend durch o.g. Eltern(teile) unterhaltene Personen</v>
      </c>
      <c r="E107" s="107"/>
      <c r="F107" s="107"/>
      <c r="G107" s="107"/>
      <c r="H107" s="107"/>
      <c r="I107" s="107"/>
      <c r="J107" s="107"/>
      <c r="K107" s="107"/>
      <c r="L107" s="107"/>
      <c r="M107" s="114" t="s">
        <v>33</v>
      </c>
      <c r="N107" s="128">
        <f>C107*Familienzuschlag</f>
        <v>0</v>
      </c>
      <c r="O107" s="107"/>
      <c r="P107" s="262" t="s">
        <v>148</v>
      </c>
      <c r="Q107" s="107"/>
    </row>
    <row r="108" spans="1:17" s="9" customFormat="1" ht="15.9" customHeight="1" x14ac:dyDescent="0.25">
      <c r="A108" s="107"/>
      <c r="B108" s="139" t="str">
        <f>"abzüglich eigene Einkünfte der unter c) berücksichtigten " &amp; IF(C107=1,"Person","Personen")</f>
        <v>abzüglich eigene Einkünfte der unter c) berücksichtigten Personen</v>
      </c>
      <c r="C108" s="107"/>
      <c r="D108" s="107"/>
      <c r="E108" s="107"/>
      <c r="F108" s="107"/>
      <c r="G108" s="107"/>
      <c r="H108" s="107"/>
      <c r="I108" s="107"/>
      <c r="J108" s="107"/>
      <c r="K108" s="107"/>
      <c r="L108" s="232" t="str">
        <f>IF(N108&gt;N107,"Fehler: Eigene Einkünfte &gt; Familienzuschläge unter c)","")</f>
        <v/>
      </c>
      <c r="M108" s="131" t="s">
        <v>35</v>
      </c>
      <c r="N108" s="133"/>
      <c r="O108" s="107"/>
      <c r="P108" s="262"/>
      <c r="Q108" s="107"/>
    </row>
    <row r="109" spans="1:17" s="9" customFormat="1" ht="15.9" customHeight="1" x14ac:dyDescent="0.25">
      <c r="A109" s="107"/>
      <c r="B109" s="107" t="s">
        <v>132</v>
      </c>
      <c r="C109" s="107"/>
      <c r="D109" s="107"/>
      <c r="E109" s="107"/>
      <c r="F109" s="107"/>
      <c r="G109" s="107"/>
      <c r="H109" s="107"/>
      <c r="I109" s="107"/>
      <c r="J109" s="107"/>
      <c r="K109" s="107"/>
      <c r="L109" s="107"/>
      <c r="M109" s="114" t="s">
        <v>33</v>
      </c>
      <c r="N109" s="123"/>
      <c r="O109" s="107"/>
      <c r="P109" s="154" t="s">
        <v>151</v>
      </c>
      <c r="Q109" s="107"/>
    </row>
    <row r="110" spans="1:17" s="9" customFormat="1" ht="15.9" customHeight="1" x14ac:dyDescent="0.25">
      <c r="A110" s="107"/>
      <c r="B110" s="107" t="s">
        <v>143</v>
      </c>
      <c r="C110" s="107"/>
      <c r="D110" s="107"/>
      <c r="E110" s="107"/>
      <c r="F110" s="107"/>
      <c r="G110" s="107"/>
      <c r="H110" s="107"/>
      <c r="I110" s="107"/>
      <c r="J110" s="107"/>
      <c r="K110" s="107"/>
      <c r="L110" s="107"/>
      <c r="M110" s="131" t="s">
        <v>35</v>
      </c>
      <c r="N110" s="133"/>
      <c r="O110" s="107"/>
      <c r="P110" s="262" t="s">
        <v>149</v>
      </c>
      <c r="Q110" s="107"/>
    </row>
    <row r="111" spans="1:17" ht="15.9" customHeight="1" x14ac:dyDescent="0.25">
      <c r="A111" s="82"/>
      <c r="B111" s="112" t="s">
        <v>133</v>
      </c>
      <c r="C111" s="82"/>
      <c r="D111" s="82"/>
      <c r="E111" s="82"/>
      <c r="F111" s="82"/>
      <c r="G111" s="82"/>
      <c r="H111" s="82"/>
      <c r="I111" s="82"/>
      <c r="J111" s="82"/>
      <c r="K111" s="82"/>
      <c r="L111" s="82"/>
      <c r="M111" s="114" t="s">
        <v>45</v>
      </c>
      <c r="N111" s="128">
        <f>SUM(N103:N107)-N108+N109-N110</f>
        <v>0</v>
      </c>
      <c r="O111" s="82"/>
      <c r="P111" s="262"/>
      <c r="Q111" s="82"/>
    </row>
    <row r="112" spans="1:17" ht="15.9" customHeight="1" x14ac:dyDescent="0.25">
      <c r="A112" s="82"/>
      <c r="B112" s="112" t="s">
        <v>135</v>
      </c>
      <c r="C112" s="112"/>
      <c r="D112" s="112"/>
      <c r="E112" s="112"/>
      <c r="F112" s="112"/>
      <c r="G112" s="112"/>
      <c r="H112" s="249">
        <f>BereinigtesEinkommenGesamt</f>
        <v>0</v>
      </c>
      <c r="I112" s="249"/>
      <c r="J112" s="115" t="s">
        <v>35</v>
      </c>
      <c r="K112" s="250">
        <f>Einkommensgrenze</f>
        <v>0</v>
      </c>
      <c r="L112" s="250"/>
      <c r="M112" s="115" t="s">
        <v>45</v>
      </c>
      <c r="N112" s="128">
        <f>IF(Einkommensgrenze&gt;BereinigtesEinkommenGesamt,0,BereinigtesEinkommenGesamt-Einkommensgrenze)</f>
        <v>0</v>
      </c>
      <c r="O112" s="112"/>
      <c r="P112" s="102"/>
      <c r="Q112" s="82"/>
    </row>
    <row r="113" spans="1:17" ht="6" customHeight="1" x14ac:dyDescent="0.25">
      <c r="A113" s="82"/>
      <c r="B113" s="82"/>
      <c r="C113" s="82"/>
      <c r="D113" s="82"/>
      <c r="E113" s="82"/>
      <c r="F113" s="82"/>
      <c r="G113" s="82"/>
      <c r="H113" s="82"/>
      <c r="I113" s="82"/>
      <c r="J113" s="82"/>
      <c r="K113" s="82"/>
      <c r="L113" s="82"/>
      <c r="M113" s="82"/>
      <c r="N113" s="88"/>
      <c r="O113" s="82"/>
      <c r="P113" s="102"/>
      <c r="Q113" s="82"/>
    </row>
    <row r="114" spans="1:17" s="16" customFormat="1" ht="15.9" customHeight="1" x14ac:dyDescent="0.25">
      <c r="A114" s="106"/>
      <c r="B114" s="247" t="s">
        <v>156</v>
      </c>
      <c r="C114" s="247"/>
      <c r="D114" s="247"/>
      <c r="E114" s="247"/>
      <c r="F114" s="247"/>
      <c r="G114" s="247"/>
      <c r="H114" s="247"/>
      <c r="I114" s="247"/>
      <c r="J114" s="17"/>
      <c r="K114" s="21"/>
      <c r="L114" s="260" t="str">
        <f>IF(VLOOKUP($B$9,Auswahlwerte!$B$3:$C$6,2,0)=1,"Mutter",IF(VLOOKUP($B$9,Auswahlwerte!$B$3:$C$6,2,0)=2,"Vater",IF(VLOOKUP($B$9,Auswahlwerte!$B$3:$C$6,2,0)=3,"","")&amp;" mtl. gesamt"))</f>
        <v xml:space="preserve"> mtl. gesamt</v>
      </c>
      <c r="M114" s="260"/>
      <c r="N114" s="260"/>
      <c r="O114" s="106"/>
      <c r="P114" s="147"/>
      <c r="Q114" s="106"/>
    </row>
    <row r="115" spans="1:17" s="3" customFormat="1" ht="6" customHeight="1" x14ac:dyDescent="0.25">
      <c r="A115" s="85"/>
      <c r="B115" s="135"/>
      <c r="C115" s="135"/>
      <c r="D115" s="135"/>
      <c r="E115" s="85"/>
      <c r="F115" s="85"/>
      <c r="G115" s="85"/>
      <c r="H115" s="85"/>
      <c r="I115" s="85"/>
      <c r="J115" s="85"/>
      <c r="K115" s="85"/>
      <c r="L115" s="85"/>
      <c r="M115" s="85"/>
      <c r="N115" s="136"/>
      <c r="O115" s="85"/>
      <c r="P115" s="104"/>
      <c r="Q115" s="85"/>
    </row>
    <row r="116" spans="1:17" ht="15.9" customHeight="1" x14ac:dyDescent="0.25">
      <c r="A116" s="82"/>
      <c r="B116" s="112" t="s">
        <v>136</v>
      </c>
      <c r="C116" s="82"/>
      <c r="D116" s="82"/>
      <c r="E116" s="82"/>
      <c r="F116" s="82"/>
      <c r="G116" s="82"/>
      <c r="H116" s="82"/>
      <c r="I116" s="82"/>
      <c r="J116" s="82"/>
      <c r="K116" s="82"/>
      <c r="L116" s="82"/>
      <c r="M116" s="82"/>
      <c r="N116" s="88"/>
      <c r="O116" s="82"/>
      <c r="P116" s="102"/>
      <c r="Q116" s="82"/>
    </row>
    <row r="117" spans="1:17" ht="15.9" customHeight="1" x14ac:dyDescent="0.25">
      <c r="A117" s="82"/>
      <c r="B117" s="267" t="s">
        <v>137</v>
      </c>
      <c r="C117" s="267"/>
      <c r="D117" s="267"/>
      <c r="E117" s="267"/>
      <c r="F117" s="267"/>
      <c r="G117" s="267"/>
      <c r="H117" s="267"/>
      <c r="I117" s="267"/>
      <c r="J117" s="267"/>
      <c r="K117" s="267"/>
      <c r="L117" s="267"/>
      <c r="M117" s="115" t="s">
        <v>35</v>
      </c>
      <c r="N117" s="133"/>
      <c r="O117" s="82"/>
      <c r="P117" s="155" t="s">
        <v>150</v>
      </c>
      <c r="Q117" s="82"/>
    </row>
    <row r="118" spans="1:17" ht="15.9" customHeight="1" x14ac:dyDescent="0.25">
      <c r="A118" s="82"/>
      <c r="B118" s="267" t="s">
        <v>137</v>
      </c>
      <c r="C118" s="267"/>
      <c r="D118" s="267"/>
      <c r="E118" s="267"/>
      <c r="F118" s="267"/>
      <c r="G118" s="267"/>
      <c r="H118" s="267"/>
      <c r="I118" s="267"/>
      <c r="J118" s="267"/>
      <c r="K118" s="267"/>
      <c r="L118" s="267"/>
      <c r="M118" s="115" t="s">
        <v>35</v>
      </c>
      <c r="N118" s="133"/>
      <c r="O118" s="82"/>
      <c r="P118" s="150" t="s">
        <v>59</v>
      </c>
      <c r="Q118" s="82"/>
    </row>
    <row r="119" spans="1:17" ht="15.9" customHeight="1" x14ac:dyDescent="0.25">
      <c r="A119" s="82"/>
      <c r="B119" s="267" t="s">
        <v>137</v>
      </c>
      <c r="C119" s="267"/>
      <c r="D119" s="267"/>
      <c r="E119" s="267"/>
      <c r="F119" s="267"/>
      <c r="G119" s="267"/>
      <c r="H119" s="267"/>
      <c r="I119" s="267"/>
      <c r="J119" s="267"/>
      <c r="K119" s="267"/>
      <c r="L119" s="267"/>
      <c r="M119" s="115" t="s">
        <v>35</v>
      </c>
      <c r="N119" s="133"/>
      <c r="O119" s="82"/>
      <c r="P119" s="102"/>
      <c r="Q119" s="82"/>
    </row>
    <row r="120" spans="1:17" ht="15.9" customHeight="1" x14ac:dyDescent="0.25">
      <c r="A120" s="82"/>
      <c r="B120" s="82" t="s">
        <v>134</v>
      </c>
      <c r="C120" s="82"/>
      <c r="D120" s="82"/>
      <c r="E120" s="82"/>
      <c r="F120" s="82"/>
      <c r="G120" s="82"/>
      <c r="H120" s="82"/>
      <c r="I120" s="82"/>
      <c r="J120" s="82"/>
      <c r="K120" s="82"/>
      <c r="L120" s="82"/>
      <c r="M120" s="115" t="s">
        <v>45</v>
      </c>
      <c r="N120" s="128">
        <f>IF(N112&lt;SUM(N117:N119),0,N112-SUM(N117:N119))</f>
        <v>0</v>
      </c>
      <c r="O120" s="82"/>
      <c r="P120" s="155" t="s">
        <v>152</v>
      </c>
      <c r="Q120" s="82"/>
    </row>
    <row r="121" spans="1:17" ht="15.9" customHeight="1" x14ac:dyDescent="0.25">
      <c r="A121" s="82"/>
      <c r="B121" s="82" t="s">
        <v>139</v>
      </c>
      <c r="C121" s="98">
        <f>Parameter!C15</f>
        <v>50</v>
      </c>
      <c r="D121" s="266" t="str">
        <f>"% des verbleibenden Betrages von " &amp; TEXT(N120,"#.##0,00 €;[Rot]-#.##0,00 €")</f>
        <v>% des verbleibenden Betrages von 0,00 €</v>
      </c>
      <c r="E121" s="266"/>
      <c r="F121" s="266"/>
      <c r="G121" s="266"/>
      <c r="H121" s="266"/>
      <c r="I121" s="266"/>
      <c r="J121" s="82"/>
      <c r="K121" s="82"/>
      <c r="L121" s="82"/>
      <c r="M121" s="115" t="s">
        <v>35</v>
      </c>
      <c r="N121" s="128">
        <f>N120*C121/100</f>
        <v>0</v>
      </c>
      <c r="O121" s="82"/>
      <c r="P121" s="150" t="s">
        <v>153</v>
      </c>
      <c r="Q121" s="82"/>
    </row>
    <row r="122" spans="1:17" ht="15.9" customHeight="1" x14ac:dyDescent="0.25">
      <c r="A122" s="82"/>
      <c r="B122" s="112" t="s">
        <v>138</v>
      </c>
      <c r="C122" s="112"/>
      <c r="D122" s="112"/>
      <c r="E122" s="112"/>
      <c r="F122" s="112"/>
      <c r="G122" s="112"/>
      <c r="H122" s="112"/>
      <c r="I122" s="112"/>
      <c r="J122" s="112"/>
      <c r="K122" s="112"/>
      <c r="L122" s="112"/>
      <c r="M122" s="112"/>
      <c r="N122" s="128">
        <f>N120-N121</f>
        <v>0</v>
      </c>
      <c r="O122" s="82"/>
      <c r="P122" s="102"/>
      <c r="Q122" s="82"/>
    </row>
    <row r="123" spans="1:17" ht="6" customHeight="1" x14ac:dyDescent="0.25">
      <c r="A123" s="82"/>
      <c r="B123" s="82"/>
      <c r="C123" s="82"/>
      <c r="D123" s="82"/>
      <c r="E123" s="82"/>
      <c r="F123" s="82"/>
      <c r="G123" s="82"/>
      <c r="H123" s="82"/>
      <c r="I123" s="82"/>
      <c r="J123" s="82"/>
      <c r="K123" s="82"/>
      <c r="L123" s="82"/>
      <c r="M123" s="82"/>
      <c r="N123" s="88"/>
      <c r="O123" s="82"/>
      <c r="P123" s="102"/>
      <c r="Q123" s="82"/>
    </row>
    <row r="124" spans="1:17" s="16" customFormat="1" ht="15.9" customHeight="1" x14ac:dyDescent="0.25">
      <c r="A124" s="106"/>
      <c r="B124" s="247" t="s">
        <v>157</v>
      </c>
      <c r="C124" s="247"/>
      <c r="D124" s="247"/>
      <c r="E124" s="247"/>
      <c r="F124" s="247"/>
      <c r="G124" s="247"/>
      <c r="H124" s="247"/>
      <c r="I124" s="247"/>
      <c r="J124" s="17"/>
      <c r="K124" s="21"/>
      <c r="L124" s="260" t="str">
        <f>IF(VLOOKUP($B$9,Auswahlwerte!$B$3:$C$6,2,0)=1,"Mutter",IF(VLOOKUP($B$9,Auswahlwerte!$B$3:$C$6,2,0)=2,"Vater",IF(VLOOKUP($B$9,Auswahlwerte!$B$3:$C$6,2,0)=3,"","")&amp;" mtl. gesamt"))</f>
        <v xml:space="preserve"> mtl. gesamt</v>
      </c>
      <c r="M124" s="260"/>
      <c r="N124" s="260"/>
      <c r="O124" s="106"/>
      <c r="P124" s="147"/>
      <c r="Q124" s="106"/>
    </row>
    <row r="125" spans="1:17" s="3" customFormat="1" ht="6" customHeight="1" x14ac:dyDescent="0.25">
      <c r="A125" s="85"/>
      <c r="B125" s="135"/>
      <c r="C125" s="135"/>
      <c r="D125" s="135"/>
      <c r="E125" s="85"/>
      <c r="F125" s="85"/>
      <c r="G125" s="85"/>
      <c r="H125" s="85"/>
      <c r="I125" s="85"/>
      <c r="J125" s="85"/>
      <c r="K125" s="85"/>
      <c r="L125" s="85"/>
      <c r="M125" s="85"/>
      <c r="N125" s="136"/>
      <c r="O125" s="85"/>
      <c r="P125" s="104"/>
      <c r="Q125" s="85"/>
    </row>
    <row r="126" spans="1:17" ht="15.9" customHeight="1" x14ac:dyDescent="0.25">
      <c r="A126" s="82"/>
      <c r="B126" s="82" t="s">
        <v>140</v>
      </c>
      <c r="C126" s="82"/>
      <c r="D126" s="82"/>
      <c r="E126" s="82"/>
      <c r="F126" s="82"/>
      <c r="G126" s="82"/>
      <c r="H126" s="82"/>
      <c r="I126" s="82"/>
      <c r="J126" s="82"/>
      <c r="K126" s="82"/>
      <c r="L126" s="82"/>
      <c r="M126" s="115"/>
      <c r="N126" s="128">
        <v>0</v>
      </c>
      <c r="O126" s="82"/>
      <c r="P126" s="102" t="s">
        <v>200</v>
      </c>
      <c r="Q126" s="82"/>
    </row>
    <row r="127" spans="1:17" ht="6" customHeight="1" x14ac:dyDescent="0.25">
      <c r="A127" s="82"/>
      <c r="B127" s="82"/>
      <c r="C127" s="82"/>
      <c r="D127" s="82"/>
      <c r="E127" s="82"/>
      <c r="F127" s="82"/>
      <c r="G127" s="82"/>
      <c r="H127" s="82"/>
      <c r="I127" s="82"/>
      <c r="J127" s="82"/>
      <c r="K127" s="82"/>
      <c r="L127" s="82"/>
      <c r="M127" s="82"/>
      <c r="N127" s="88"/>
      <c r="O127" s="82"/>
      <c r="P127" s="102"/>
      <c r="Q127" s="82"/>
    </row>
    <row r="128" spans="1:17" s="16" customFormat="1" ht="15.9" customHeight="1" x14ac:dyDescent="0.25">
      <c r="A128" s="106"/>
      <c r="B128" s="247" t="s">
        <v>223</v>
      </c>
      <c r="C128" s="247"/>
      <c r="D128" s="247"/>
      <c r="E128" s="247"/>
      <c r="F128" s="247"/>
      <c r="G128" s="247"/>
      <c r="H128" s="247"/>
      <c r="I128" s="247"/>
      <c r="J128" s="17"/>
      <c r="K128" s="21"/>
      <c r="L128" s="260" t="str">
        <f>IF(VLOOKUP($B$9,Auswahlwerte!$B$3:$C$6,2,0)=1,"Mutter",IF(VLOOKUP($B$9,Auswahlwerte!$B$3:$C$6,2,0)=2,"Vater",IF(VLOOKUP($B$9,Auswahlwerte!$B$3:$C$6,2,0)=3,"","")&amp;" mtl. gesamt"))</f>
        <v xml:space="preserve"> mtl. gesamt</v>
      </c>
      <c r="M128" s="260"/>
      <c r="N128" s="260"/>
      <c r="O128" s="106"/>
      <c r="P128" s="147"/>
      <c r="Q128" s="106"/>
    </row>
    <row r="129" spans="1:17" s="11" customFormat="1" ht="6" customHeight="1" x14ac:dyDescent="0.25">
      <c r="A129" s="82"/>
      <c r="B129" s="140"/>
      <c r="C129" s="140"/>
      <c r="D129" s="140"/>
      <c r="E129" s="140"/>
      <c r="F129" s="140"/>
      <c r="G129" s="140"/>
      <c r="H129" s="140"/>
      <c r="I129" s="140"/>
      <c r="J129" s="141"/>
      <c r="K129" s="111"/>
      <c r="L129" s="142"/>
      <c r="M129" s="142"/>
      <c r="N129" s="142"/>
      <c r="O129" s="82"/>
      <c r="P129" s="230"/>
      <c r="Q129" s="82"/>
    </row>
    <row r="130" spans="1:17" ht="15.9" customHeight="1" x14ac:dyDescent="0.25">
      <c r="A130" s="82"/>
      <c r="B130" s="183" t="s">
        <v>138</v>
      </c>
      <c r="C130" s="174"/>
      <c r="D130" s="174"/>
      <c r="E130" s="174"/>
      <c r="F130" s="174"/>
      <c r="G130" s="174"/>
      <c r="H130" s="174"/>
      <c r="I130" s="174"/>
      <c r="J130" s="174"/>
      <c r="K130" s="174"/>
      <c r="L130" s="174"/>
      <c r="M130" s="184"/>
      <c r="N130" s="193">
        <f>N122</f>
        <v>0</v>
      </c>
      <c r="O130" s="82"/>
      <c r="P130" s="102"/>
      <c r="Q130" s="82"/>
    </row>
    <row r="131" spans="1:17" ht="15.9" customHeight="1" x14ac:dyDescent="0.25">
      <c r="A131" s="82"/>
      <c r="B131" s="197" t="s">
        <v>141</v>
      </c>
      <c r="C131" s="174"/>
      <c r="D131" s="174"/>
      <c r="E131" s="174"/>
      <c r="F131" s="174"/>
      <c r="G131" s="174"/>
      <c r="H131" s="174"/>
      <c r="I131" s="174"/>
      <c r="J131" s="174"/>
      <c r="K131" s="174"/>
      <c r="L131" s="174"/>
      <c r="M131" s="184"/>
      <c r="N131" s="193"/>
      <c r="O131" s="82"/>
      <c r="P131" s="102"/>
      <c r="Q131" s="82"/>
    </row>
    <row r="132" spans="1:17" ht="15.9" customHeight="1" x14ac:dyDescent="0.25">
      <c r="A132" s="82"/>
      <c r="B132" s="283" t="s">
        <v>224</v>
      </c>
      <c r="C132" s="283"/>
      <c r="D132" s="283"/>
      <c r="E132" s="283"/>
      <c r="F132" s="283"/>
      <c r="G132" s="283"/>
      <c r="H132" s="283"/>
      <c r="I132" s="283"/>
      <c r="J132" s="283"/>
      <c r="K132" s="283"/>
      <c r="L132" s="283"/>
      <c r="M132" s="175" t="s">
        <v>35</v>
      </c>
      <c r="N132" s="133"/>
      <c r="O132" s="82"/>
      <c r="P132" s="102" t="s">
        <v>226</v>
      </c>
      <c r="Q132" s="82"/>
    </row>
    <row r="133" spans="1:17" ht="15.9" customHeight="1" x14ac:dyDescent="0.25">
      <c r="A133" s="82"/>
      <c r="B133" s="283" t="s">
        <v>224</v>
      </c>
      <c r="C133" s="283"/>
      <c r="D133" s="283"/>
      <c r="E133" s="283"/>
      <c r="F133" s="283"/>
      <c r="G133" s="283"/>
      <c r="H133" s="283"/>
      <c r="I133" s="283"/>
      <c r="J133" s="283"/>
      <c r="K133" s="283"/>
      <c r="L133" s="283"/>
      <c r="M133" s="175" t="s">
        <v>35</v>
      </c>
      <c r="N133" s="133"/>
      <c r="O133" s="82"/>
      <c r="P133" s="150" t="s">
        <v>59</v>
      </c>
      <c r="Q133" s="82"/>
    </row>
    <row r="134" spans="1:17" ht="15.9" customHeight="1" thickBot="1" x14ac:dyDescent="0.3">
      <c r="A134" s="82"/>
      <c r="B134" s="197"/>
      <c r="C134" s="174"/>
      <c r="D134" s="174"/>
      <c r="E134" s="174"/>
      <c r="F134" s="174"/>
      <c r="G134" s="174"/>
      <c r="H134" s="174"/>
      <c r="I134" s="174"/>
      <c r="J134" s="174"/>
      <c r="K134" s="174"/>
      <c r="L134" s="174"/>
      <c r="M134" s="184"/>
      <c r="N134" s="193"/>
      <c r="O134" s="82"/>
      <c r="P134" s="102"/>
      <c r="Q134" s="82"/>
    </row>
    <row r="135" spans="1:17" s="2" customFormat="1" ht="15.9" customHeight="1" thickBot="1" x14ac:dyDescent="0.3">
      <c r="A135" s="129"/>
      <c r="B135" s="280" t="s">
        <v>225</v>
      </c>
      <c r="C135" s="280"/>
      <c r="D135" s="280"/>
      <c r="E135" s="280"/>
      <c r="F135" s="280"/>
      <c r="G135" s="280"/>
      <c r="H135" s="280"/>
      <c r="I135" s="280"/>
      <c r="J135" s="280"/>
      <c r="K135" s="187"/>
      <c r="L135" s="187"/>
      <c r="M135" s="281" t="s">
        <v>45</v>
      </c>
      <c r="N135" s="282">
        <f>IF(N130-N132-N133&lt;0,0,N130-N132-N133)</f>
        <v>0</v>
      </c>
      <c r="O135" s="129"/>
      <c r="P135" s="102" t="s">
        <v>227</v>
      </c>
      <c r="Q135" s="129"/>
    </row>
    <row r="136" spans="1:17" s="2" customFormat="1" ht="6" customHeight="1" x14ac:dyDescent="0.25">
      <c r="A136" s="129"/>
      <c r="B136" s="84"/>
      <c r="C136" s="84"/>
      <c r="D136" s="84"/>
      <c r="E136" s="84"/>
      <c r="F136" s="84"/>
      <c r="G136" s="84"/>
      <c r="H136" s="84"/>
      <c r="I136" s="84"/>
      <c r="J136" s="84"/>
      <c r="K136" s="106"/>
      <c r="L136" s="106"/>
      <c r="M136" s="143"/>
      <c r="N136" s="144"/>
      <c r="O136" s="129"/>
      <c r="P136" s="102"/>
      <c r="Q136" s="129"/>
    </row>
    <row r="137" spans="1:17" ht="15.9" customHeight="1" x14ac:dyDescent="0.25">
      <c r="A137" s="82"/>
      <c r="B137" s="257" t="str">
        <f>IF(OR(VLOOKUP('Beiblatt Selbständige'!G14,Auswahlwerte!B25:C27,2,0)=2,VLOOKUP('Beiblatt Selbständige'!L14,Auswahlwerte!B29:C31,2,0)=2)=TRUE,"Die Entscheidung ist VORLÄUFIG, weil bei mindestens einem Elternteil Einkünfte aus selbständiger Tätigkeit lediglich vorläufig berechnet werden konnten.","")</f>
        <v/>
      </c>
      <c r="C137" s="257"/>
      <c r="D137" s="257"/>
      <c r="E137" s="257"/>
      <c r="F137" s="257"/>
      <c r="G137" s="257"/>
      <c r="H137" s="257"/>
      <c r="I137" s="257"/>
      <c r="J137" s="257"/>
      <c r="K137" s="257"/>
      <c r="L137" s="257"/>
      <c r="M137" s="82"/>
      <c r="N137" s="88"/>
      <c r="O137" s="82"/>
      <c r="P137" s="102" t="str">
        <f>IF(OR(VLOOKUP('Beiblatt Selbständige'!G14,Auswahlwerte!B25:C27,2,0)=2,VLOOKUP('Beiblatt Selbständige'!L14,Auswahlwerte!B29:C31,2,0)=2)=TRUE,"Wenn Sie trotz vorläufiger Einkünfte aus selbstständiger Tätigkeit eine","")</f>
        <v/>
      </c>
      <c r="Q137" s="82"/>
    </row>
    <row r="138" spans="1:17" ht="15.9" customHeight="1" x14ac:dyDescent="0.25">
      <c r="A138" s="82"/>
      <c r="B138" s="257"/>
      <c r="C138" s="257"/>
      <c r="D138" s="257"/>
      <c r="E138" s="257"/>
      <c r="F138" s="257"/>
      <c r="G138" s="257"/>
      <c r="H138" s="257"/>
      <c r="I138" s="257"/>
      <c r="J138" s="257"/>
      <c r="K138" s="257"/>
      <c r="L138" s="257"/>
      <c r="M138" s="82"/>
      <c r="N138" s="88"/>
      <c r="O138" s="82"/>
      <c r="P138" s="102" t="str">
        <f>IF(OR(VLOOKUP('Beiblatt Selbständige'!G14,Auswahlwerte!B25:C27,2,0)=2,VLOOKUP('Beiblatt Selbständige'!L14,Auswahlwerte!B29:C31,2,0)=2)=TRUE,"endgültige Entscheidung treffen wollen, entfernen Sie den Hinweis.","")</f>
        <v/>
      </c>
      <c r="Q138" s="82"/>
    </row>
    <row r="139" spans="1:17" ht="15.9" customHeight="1" x14ac:dyDescent="0.25">
      <c r="A139" s="82"/>
      <c r="B139" s="82"/>
      <c r="C139" s="82"/>
      <c r="D139" s="82"/>
      <c r="E139" s="82"/>
      <c r="F139" s="82"/>
      <c r="G139" s="82"/>
      <c r="H139" s="82"/>
      <c r="I139" s="82"/>
      <c r="J139" s="82"/>
      <c r="K139" s="82"/>
      <c r="L139" s="82"/>
      <c r="M139" s="82"/>
      <c r="N139" s="88"/>
      <c r="O139" s="82"/>
      <c r="P139" s="156"/>
      <c r="Q139" s="82"/>
    </row>
  </sheetData>
  <sheetProtection sheet="1" objects="1" scenarios="1" selectLockedCells="1"/>
  <mergeCells count="114">
    <mergeCell ref="B133:L133"/>
    <mergeCell ref="F81:G81"/>
    <mergeCell ref="B59:F59"/>
    <mergeCell ref="F57:G57"/>
    <mergeCell ref="K57:L57"/>
    <mergeCell ref="B64:G64"/>
    <mergeCell ref="P71:P81"/>
    <mergeCell ref="P59:P63"/>
    <mergeCell ref="P67:P69"/>
    <mergeCell ref="K81:L81"/>
    <mergeCell ref="K87:L87"/>
    <mergeCell ref="B132:L132"/>
    <mergeCell ref="P93:P96"/>
    <mergeCell ref="F87:G87"/>
    <mergeCell ref="P52:P56"/>
    <mergeCell ref="I99:L99"/>
    <mergeCell ref="D121:I121"/>
    <mergeCell ref="B117:L117"/>
    <mergeCell ref="B118:L118"/>
    <mergeCell ref="B119:L119"/>
    <mergeCell ref="K52:L52"/>
    <mergeCell ref="F43:G43"/>
    <mergeCell ref="K43:L43"/>
    <mergeCell ref="F39:G39"/>
    <mergeCell ref="F40:G40"/>
    <mergeCell ref="B137:L138"/>
    <mergeCell ref="P82:P83"/>
    <mergeCell ref="F97:G97"/>
    <mergeCell ref="K97:L97"/>
    <mergeCell ref="F94:G94"/>
    <mergeCell ref="K94:L94"/>
    <mergeCell ref="F95:G95"/>
    <mergeCell ref="F96:G96"/>
    <mergeCell ref="K95:L95"/>
    <mergeCell ref="K96:L96"/>
    <mergeCell ref="B101:I101"/>
    <mergeCell ref="L124:N124"/>
    <mergeCell ref="L128:N128"/>
    <mergeCell ref="B91:G91"/>
    <mergeCell ref="P107:P108"/>
    <mergeCell ref="P110:P111"/>
    <mergeCell ref="B114:I114"/>
    <mergeCell ref="L101:N101"/>
    <mergeCell ref="L114:N114"/>
    <mergeCell ref="F55:G55"/>
    <mergeCell ref="F52:G52"/>
    <mergeCell ref="F53:G53"/>
    <mergeCell ref="F54:G54"/>
    <mergeCell ref="F45:G45"/>
    <mergeCell ref="K45:L45"/>
    <mergeCell ref="F44:G44"/>
    <mergeCell ref="K44:L44"/>
    <mergeCell ref="K46:L46"/>
    <mergeCell ref="K47:L47"/>
    <mergeCell ref="F46:G46"/>
    <mergeCell ref="F47:G47"/>
    <mergeCell ref="K55:L55"/>
    <mergeCell ref="F41:G41"/>
    <mergeCell ref="F42:G42"/>
    <mergeCell ref="B5:D5"/>
    <mergeCell ref="B8:D8"/>
    <mergeCell ref="F8:I8"/>
    <mergeCell ref="K8:M8"/>
    <mergeCell ref="F9:I9"/>
    <mergeCell ref="B9:D9"/>
    <mergeCell ref="B6:D6"/>
    <mergeCell ref="K9:N9"/>
    <mergeCell ref="K34:L34"/>
    <mergeCell ref="B12:H12"/>
    <mergeCell ref="F19:G19"/>
    <mergeCell ref="F20:G20"/>
    <mergeCell ref="F21:G21"/>
    <mergeCell ref="F22:G22"/>
    <mergeCell ref="F23:G23"/>
    <mergeCell ref="F33:G33"/>
    <mergeCell ref="K33:L33"/>
    <mergeCell ref="F28:G28"/>
    <mergeCell ref="F29:G29"/>
    <mergeCell ref="K40:L40"/>
    <mergeCell ref="K41:L41"/>
    <mergeCell ref="K42:L42"/>
    <mergeCell ref="K3:L3"/>
    <mergeCell ref="B16:D29"/>
    <mergeCell ref="B39:D47"/>
    <mergeCell ref="B52:D55"/>
    <mergeCell ref="B69:D89"/>
    <mergeCell ref="B94:D96"/>
    <mergeCell ref="B124:I124"/>
    <mergeCell ref="B128:I128"/>
    <mergeCell ref="K24:L24"/>
    <mergeCell ref="K25:L25"/>
    <mergeCell ref="K26:L26"/>
    <mergeCell ref="K27:L27"/>
    <mergeCell ref="F24:G24"/>
    <mergeCell ref="F25:G25"/>
    <mergeCell ref="F26:G26"/>
    <mergeCell ref="F27:G27"/>
    <mergeCell ref="F18:G18"/>
    <mergeCell ref="F71:G71"/>
    <mergeCell ref="K71:L71"/>
    <mergeCell ref="H112:I112"/>
    <mergeCell ref="K112:L112"/>
    <mergeCell ref="K23:L23"/>
    <mergeCell ref="K39:L39"/>
    <mergeCell ref="F34:G34"/>
    <mergeCell ref="K53:L53"/>
    <mergeCell ref="K54:L54"/>
    <mergeCell ref="K28:L28"/>
    <mergeCell ref="K29:L29"/>
    <mergeCell ref="K18:L18"/>
    <mergeCell ref="K19:L19"/>
    <mergeCell ref="K20:L20"/>
    <mergeCell ref="K21:L21"/>
    <mergeCell ref="K22:L22"/>
  </mergeCells>
  <conditionalFormatting sqref="I21">
    <cfRule type="expression" dxfId="4" priority="12">
      <formula>$H21="./."</formula>
    </cfRule>
  </conditionalFormatting>
  <conditionalFormatting sqref="I22">
    <cfRule type="expression" dxfId="3" priority="11">
      <formula>$H22="./."</formula>
    </cfRule>
  </conditionalFormatting>
  <conditionalFormatting sqref="I23:I29">
    <cfRule type="expression" dxfId="2" priority="10">
      <formula>$H23="./."</formula>
    </cfRule>
  </conditionalFormatting>
  <conditionalFormatting sqref="N21">
    <cfRule type="expression" dxfId="1" priority="2">
      <formula>$M21="./."</formula>
    </cfRule>
  </conditionalFormatting>
  <conditionalFormatting sqref="N22:N29">
    <cfRule type="expression" dxfId="0" priority="1">
      <formula>$M22="./."</formula>
    </cfRule>
  </conditionalFormatting>
  <hyperlinks>
    <hyperlink ref="P1" r:id="rId1" xr:uid="{00000000-0004-0000-0000-000000000000}"/>
    <hyperlink ref="P42" r:id="rId2" xr:uid="{00000000-0004-0000-0000-000001000000}"/>
    <hyperlink ref="P118" r:id="rId3" xr:uid="{00000000-0004-0000-0000-000002000000}"/>
    <hyperlink ref="P109" r:id="rId4" display="Empfehlungen zur Berechnung." xr:uid="{00000000-0004-0000-0000-000003000000}"/>
    <hyperlink ref="P121" r:id="rId5" display="Empfehlungen zur Berechnung." xr:uid="{00000000-0004-0000-0000-000004000000}"/>
    <hyperlink ref="P97" r:id="rId6" xr:uid="{00000000-0004-0000-0000-000006000000}"/>
    <hyperlink ref="P34" location="'Beiblatt Selbständige'!G14" display="Beiblatt Selbständige" xr:uid="{00000000-0004-0000-0000-000007000000}"/>
    <hyperlink ref="P133" r:id="rId7" xr:uid="{022BEC79-8D82-4991-9B1E-F4E55C4DB330}"/>
  </hyperlinks>
  <pageMargins left="0.78740157480314965" right="0.19685039370078741" top="0.39370078740157483" bottom="0.39370078740157483" header="0.31496062992125984" footer="0.31496062992125984"/>
  <pageSetup paperSize="9" scale="74" fitToHeight="100" orientation="portrait" blackAndWhite="1" r:id="rId8"/>
  <headerFooter>
    <oddFooter>&amp;RSeite &amp;P/&amp;N
&amp;A - &amp;F</oddFooter>
  </headerFooter>
  <rowBreaks count="1" manualBreakCount="1">
    <brk id="57" max="16383" man="1"/>
  </rowBreak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Auswahlwerte!$B$8:$B$10</xm:f>
          </x14:formula1>
          <xm:sqref>I16 H17</xm:sqref>
        </x14:dataValidation>
        <x14:dataValidation type="list" allowBlank="1" showInputMessage="1" showErrorMessage="1" xr:uid="{00000000-0002-0000-0000-000001000000}">
          <x14:formula1>
            <xm:f>Auswahlwerte!$B$16:$B$18</xm:f>
          </x14:formula1>
          <xm:sqref>N16</xm:sqref>
        </x14:dataValidation>
        <x14:dataValidation type="list" allowBlank="1" errorTitle="Elternteile im HH des Kindes" error="Sie müssen eine Auswahl treffen!" xr:uid="{00000000-0002-0000-0000-000002000000}">
          <x14:formula1>
            <xm:f>Auswahlwerte!$B$3:$B$6</xm:f>
          </x14:formula1>
          <xm:sqref>B9:D9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31"/>
  <sheetViews>
    <sheetView showGridLines="0" showRowColHeaders="0" workbookViewId="0">
      <pane ySplit="10" topLeftCell="A11" activePane="bottomLeft" state="frozenSplit"/>
      <selection activeCell="K3" sqref="K3:L3"/>
      <selection pane="bottomLeft" activeCell="G14" sqref="G14"/>
    </sheetView>
  </sheetViews>
  <sheetFormatPr baseColWidth="10" defaultColWidth="11.44140625" defaultRowHeight="15.9" customHeight="1" x14ac:dyDescent="0.25"/>
  <cols>
    <col min="1" max="1" width="3.33203125" style="23" customWidth="1"/>
    <col min="2" max="2" width="14.6640625" style="23" customWidth="1"/>
    <col min="3" max="3" width="8.5546875" style="23" customWidth="1"/>
    <col min="4" max="4" width="7.109375" style="23" customWidth="1"/>
    <col min="5" max="5" width="3.6640625" style="23" customWidth="1"/>
    <col min="6" max="7" width="13.6640625" style="23" customWidth="1"/>
    <col min="8" max="8" width="2.6640625" style="24" customWidth="1"/>
    <col min="9" max="9" width="14.33203125" style="23" customWidth="1"/>
    <col min="10" max="10" width="3.6640625" style="23" customWidth="1"/>
    <col min="11" max="12" width="13.6640625" style="23" customWidth="1"/>
    <col min="13" max="13" width="2.6640625" style="23" customWidth="1"/>
    <col min="14" max="14" width="14.33203125" style="25" customWidth="1"/>
    <col min="15" max="15" width="11.44140625" style="23"/>
    <col min="16" max="16" width="59" style="29" customWidth="1"/>
    <col min="17" max="16384" width="11.44140625" style="26"/>
  </cols>
  <sheetData>
    <row r="1" spans="1:17" ht="15.9" customHeight="1" x14ac:dyDescent="0.25">
      <c r="A1" s="174"/>
      <c r="B1" s="174"/>
      <c r="C1" s="174"/>
      <c r="D1" s="174"/>
      <c r="E1" s="174"/>
      <c r="F1" s="174"/>
      <c r="G1" s="174"/>
      <c r="H1" s="175"/>
      <c r="I1" s="174"/>
      <c r="J1" s="174"/>
      <c r="K1" s="174"/>
      <c r="L1" s="174"/>
      <c r="M1" s="174"/>
      <c r="N1" s="176"/>
      <c r="O1" s="174"/>
      <c r="P1" s="199"/>
      <c r="Q1" s="200"/>
    </row>
    <row r="2" spans="1:17" ht="15.9" customHeight="1" x14ac:dyDescent="0.25">
      <c r="A2" s="174"/>
      <c r="B2" s="216" t="s">
        <v>164</v>
      </c>
      <c r="C2" s="217"/>
      <c r="D2" s="217"/>
      <c r="E2" s="217"/>
      <c r="F2" s="217"/>
      <c r="G2" s="217"/>
      <c r="H2" s="218"/>
      <c r="I2" s="217"/>
      <c r="J2" s="217"/>
      <c r="K2" s="219" t="s">
        <v>67</v>
      </c>
      <c r="L2" s="217"/>
      <c r="M2" s="217"/>
      <c r="N2" s="220" t="s">
        <v>68</v>
      </c>
      <c r="O2" s="174"/>
      <c r="P2" s="201" t="s">
        <v>49</v>
      </c>
      <c r="Q2" s="200"/>
    </row>
    <row r="3" spans="1:17" ht="15.9" customHeight="1" x14ac:dyDescent="0.25">
      <c r="A3" s="174"/>
      <c r="B3" s="221" t="s">
        <v>70</v>
      </c>
      <c r="C3" s="217"/>
      <c r="D3" s="217"/>
      <c r="E3" s="217"/>
      <c r="F3" s="217"/>
      <c r="G3" s="217"/>
      <c r="H3" s="218"/>
      <c r="I3" s="217"/>
      <c r="J3" s="217"/>
      <c r="K3" s="271" t="str">
        <f>IF(Berechnung!K3&lt;&gt;"",Berechnung!K3,"")</f>
        <v/>
      </c>
      <c r="L3" s="271"/>
      <c r="M3" s="217"/>
      <c r="N3" s="177" t="str">
        <f>IF(Berechnung!N3&lt;&gt;"",Berechnung!N3,"")</f>
        <v/>
      </c>
      <c r="O3" s="174"/>
      <c r="P3" s="202"/>
      <c r="Q3" s="200"/>
    </row>
    <row r="4" spans="1:17" ht="15.9" customHeight="1" x14ac:dyDescent="0.25">
      <c r="A4" s="174"/>
      <c r="B4" s="217"/>
      <c r="C4" s="217"/>
      <c r="D4" s="217"/>
      <c r="E4" s="217"/>
      <c r="F4" s="217"/>
      <c r="G4" s="217"/>
      <c r="H4" s="218"/>
      <c r="I4" s="217"/>
      <c r="J4" s="217"/>
      <c r="K4" s="217"/>
      <c r="L4" s="217"/>
      <c r="M4" s="217"/>
      <c r="N4" s="222"/>
      <c r="O4" s="174"/>
      <c r="P4" s="213" t="s">
        <v>54</v>
      </c>
      <c r="Q4" s="200"/>
    </row>
    <row r="5" spans="1:17" ht="15.9" customHeight="1" x14ac:dyDescent="0.25">
      <c r="A5" s="178"/>
      <c r="B5" s="276" t="s">
        <v>0</v>
      </c>
      <c r="C5" s="276"/>
      <c r="D5" s="276"/>
      <c r="E5" s="219"/>
      <c r="F5" s="219" t="s">
        <v>47</v>
      </c>
      <c r="G5" s="219"/>
      <c r="H5" s="223"/>
      <c r="I5" s="219"/>
      <c r="J5" s="219"/>
      <c r="K5" s="219" t="s">
        <v>29</v>
      </c>
      <c r="L5" s="224"/>
      <c r="M5" s="219"/>
      <c r="N5" s="220" t="s">
        <v>30</v>
      </c>
      <c r="O5" s="178"/>
      <c r="P5" s="214" t="s">
        <v>203</v>
      </c>
      <c r="Q5" s="200"/>
    </row>
    <row r="6" spans="1:17" ht="15.9" customHeight="1" x14ac:dyDescent="0.25">
      <c r="A6" s="179"/>
      <c r="B6" s="271" t="str">
        <f>IF(Berechnung!B6&lt;&gt;"",Berechnung!B6,"")</f>
        <v/>
      </c>
      <c r="C6" s="271"/>
      <c r="D6" s="271"/>
      <c r="E6" s="180"/>
      <c r="F6" s="181" t="str">
        <f>IF(Berechnung!F6&lt;&gt;"",Berechnung!F6,"")</f>
        <v/>
      </c>
      <c r="G6" s="225"/>
      <c r="H6" s="226"/>
      <c r="I6" s="225"/>
      <c r="J6" s="180"/>
      <c r="K6" s="181" t="str">
        <f>IF(Leistungsbeginn&lt;&gt;"",Leistungsbeginn,"")</f>
        <v/>
      </c>
      <c r="L6" s="179"/>
      <c r="M6" s="225"/>
      <c r="N6" s="182" t="str">
        <f>IF(Leistungsende&lt;&gt;"",Leistungsende,"")</f>
        <v/>
      </c>
      <c r="O6" s="179"/>
      <c r="P6" s="203"/>
      <c r="Q6" s="200"/>
    </row>
    <row r="7" spans="1:17" ht="15.9" customHeight="1" x14ac:dyDescent="0.25">
      <c r="A7" s="174"/>
      <c r="B7" s="225"/>
      <c r="C7" s="225"/>
      <c r="D7" s="225"/>
      <c r="E7" s="225"/>
      <c r="F7" s="225"/>
      <c r="G7" s="225"/>
      <c r="H7" s="226"/>
      <c r="I7" s="225"/>
      <c r="J7" s="225"/>
      <c r="K7" s="225"/>
      <c r="L7" s="225"/>
      <c r="M7" s="225"/>
      <c r="N7" s="222"/>
      <c r="O7" s="174"/>
      <c r="P7" s="203"/>
      <c r="Q7" s="200"/>
    </row>
    <row r="8" spans="1:17" ht="15.9" customHeight="1" x14ac:dyDescent="0.25">
      <c r="A8" s="178"/>
      <c r="B8" s="276" t="s">
        <v>74</v>
      </c>
      <c r="C8" s="276"/>
      <c r="D8" s="276"/>
      <c r="E8" s="219"/>
      <c r="F8" s="276" t="s">
        <v>2</v>
      </c>
      <c r="G8" s="276"/>
      <c r="H8" s="276"/>
      <c r="I8" s="276"/>
      <c r="J8" s="219"/>
      <c r="K8" s="276" t="s">
        <v>9</v>
      </c>
      <c r="L8" s="276"/>
      <c r="M8" s="276"/>
      <c r="N8" s="227"/>
      <c r="O8" s="178"/>
      <c r="P8" s="202"/>
      <c r="Q8" s="200"/>
    </row>
    <row r="9" spans="1:17" ht="15.9" customHeight="1" x14ac:dyDescent="0.25">
      <c r="A9" s="179"/>
      <c r="B9" s="271" t="str">
        <f>Berechnung!B9</f>
        <v>Auswahl...</v>
      </c>
      <c r="C9" s="271"/>
      <c r="D9" s="271"/>
      <c r="E9" s="180"/>
      <c r="F9" s="271" t="str">
        <f>IF(Berechnung!F9&lt;&gt;"",Berechnung!F9,"")</f>
        <v/>
      </c>
      <c r="G9" s="271"/>
      <c r="H9" s="271"/>
      <c r="I9" s="271"/>
      <c r="J9" s="180"/>
      <c r="K9" s="271" t="str">
        <f>IF(Berechnung!K9&lt;&gt;"",Berechnung!K9,"")</f>
        <v/>
      </c>
      <c r="L9" s="271"/>
      <c r="M9" s="271"/>
      <c r="N9" s="271"/>
      <c r="O9" s="179"/>
      <c r="P9" s="204"/>
      <c r="Q9" s="200"/>
    </row>
    <row r="10" spans="1:17" ht="15.9" customHeight="1" x14ac:dyDescent="0.25">
      <c r="A10" s="174"/>
      <c r="B10" s="225"/>
      <c r="C10" s="225"/>
      <c r="D10" s="225"/>
      <c r="E10" s="225"/>
      <c r="F10" s="225"/>
      <c r="G10" s="225"/>
      <c r="H10" s="226"/>
      <c r="I10" s="225"/>
      <c r="J10" s="225"/>
      <c r="K10" s="225"/>
      <c r="L10" s="225"/>
      <c r="M10" s="225"/>
      <c r="N10" s="222"/>
      <c r="O10" s="174"/>
      <c r="P10" s="204"/>
      <c r="Q10" s="200"/>
    </row>
    <row r="11" spans="1:17" ht="15.9" customHeight="1" x14ac:dyDescent="0.25">
      <c r="A11" s="174"/>
      <c r="B11" s="174"/>
      <c r="C11" s="174"/>
      <c r="D11" s="174"/>
      <c r="E11" s="174"/>
      <c r="F11" s="174"/>
      <c r="G11" s="174"/>
      <c r="H11" s="175"/>
      <c r="I11" s="174"/>
      <c r="J11" s="174"/>
      <c r="K11" s="174"/>
      <c r="L11" s="174"/>
      <c r="M11" s="174"/>
      <c r="N11" s="176"/>
      <c r="O11" s="174"/>
      <c r="P11" s="204"/>
      <c r="Q11" s="200"/>
    </row>
    <row r="12" spans="1:17" ht="15.9" customHeight="1" x14ac:dyDescent="0.25">
      <c r="A12" s="187"/>
      <c r="B12" s="272" t="s">
        <v>70</v>
      </c>
      <c r="C12" s="272"/>
      <c r="D12" s="272"/>
      <c r="E12" s="272"/>
      <c r="F12" s="272"/>
      <c r="G12" s="272"/>
      <c r="H12" s="272"/>
      <c r="I12" s="32" t="str">
        <f>IF(OR(VLOOKUP($B$9,Auswahlwerte!$B$3:$C$6,2,0)=1,VLOOKUP($B$9,Auswahlwerte!$B$3:$C$6,2,0)=3)=TRUE,"Mutter","")</f>
        <v/>
      </c>
      <c r="J12" s="33"/>
      <c r="K12" s="33"/>
      <c r="L12" s="33"/>
      <c r="M12" s="33"/>
      <c r="N12" s="34" t="str">
        <f>IF(OR(VLOOKUP($B$9,Auswahlwerte!$B$3:$C$6,2,0)=2,VLOOKUP($B$9,Auswahlwerte!$B$3:$C$6,2,0)=3)=TRUE,"Vater","")</f>
        <v/>
      </c>
      <c r="O12" s="187"/>
      <c r="P12" s="205"/>
      <c r="Q12" s="200"/>
    </row>
    <row r="13" spans="1:17" ht="20.100000000000001" customHeight="1" x14ac:dyDescent="0.25">
      <c r="A13" s="197"/>
      <c r="B13" s="174"/>
      <c r="C13" s="174"/>
      <c r="D13" s="174"/>
      <c r="E13" s="174"/>
      <c r="F13" s="174"/>
      <c r="G13" s="174"/>
      <c r="H13" s="175"/>
      <c r="I13" s="215" t="s">
        <v>204</v>
      </c>
      <c r="J13" s="174"/>
      <c r="K13" s="174"/>
      <c r="L13" s="174"/>
      <c r="M13" s="174"/>
      <c r="N13" s="215" t="s">
        <v>204</v>
      </c>
      <c r="O13" s="186"/>
      <c r="P13" s="204"/>
      <c r="Q13" s="200"/>
    </row>
    <row r="14" spans="1:17" s="39" customFormat="1" ht="15.9" customHeight="1" x14ac:dyDescent="0.25">
      <c r="A14" s="188"/>
      <c r="B14" s="183" t="s">
        <v>165</v>
      </c>
      <c r="C14" s="183"/>
      <c r="D14" s="183"/>
      <c r="E14" s="183"/>
      <c r="F14" s="183"/>
      <c r="G14" s="190" t="s">
        <v>6</v>
      </c>
      <c r="H14" s="175"/>
      <c r="I14" s="190"/>
      <c r="J14" s="183"/>
      <c r="K14" s="183"/>
      <c r="L14" s="190" t="s">
        <v>6</v>
      </c>
      <c r="M14" s="183"/>
      <c r="N14" s="97"/>
      <c r="O14" s="188"/>
      <c r="P14" s="102" t="s">
        <v>189</v>
      </c>
      <c r="Q14" s="206"/>
    </row>
    <row r="15" spans="1:17" ht="15.9" customHeight="1" x14ac:dyDescent="0.25">
      <c r="A15" s="189"/>
      <c r="B15" s="174"/>
      <c r="C15" s="174"/>
      <c r="D15" s="174"/>
      <c r="E15" s="174"/>
      <c r="F15" s="174"/>
      <c r="G15" s="174"/>
      <c r="H15" s="175"/>
      <c r="I15" s="174"/>
      <c r="J15" s="174"/>
      <c r="K15" s="174"/>
      <c r="L15" s="174"/>
      <c r="M15" s="174"/>
      <c r="N15" s="176"/>
      <c r="O15" s="189"/>
      <c r="P15" s="207" t="s">
        <v>190</v>
      </c>
      <c r="Q15" s="200"/>
    </row>
    <row r="16" spans="1:17" ht="15.9" customHeight="1" x14ac:dyDescent="0.25">
      <c r="A16" s="174"/>
      <c r="B16" s="183" t="s">
        <v>178</v>
      </c>
      <c r="C16" s="174"/>
      <c r="D16" s="174"/>
      <c r="E16" s="174"/>
      <c r="F16" s="174"/>
      <c r="G16" s="174"/>
      <c r="H16" s="175"/>
      <c r="I16" s="184"/>
      <c r="J16" s="174"/>
      <c r="K16" s="174"/>
      <c r="L16" s="174"/>
      <c r="M16" s="174"/>
      <c r="N16" s="184"/>
      <c r="O16" s="174"/>
      <c r="P16" s="204"/>
      <c r="Q16" s="200"/>
    </row>
    <row r="17" spans="1:17" ht="6" customHeight="1" x14ac:dyDescent="0.25">
      <c r="A17" s="178"/>
      <c r="B17" s="174"/>
      <c r="C17" s="174"/>
      <c r="D17" s="174"/>
      <c r="E17" s="174"/>
      <c r="F17" s="174"/>
      <c r="G17" s="174"/>
      <c r="H17" s="175"/>
      <c r="I17" s="174"/>
      <c r="J17" s="174"/>
      <c r="K17" s="174"/>
      <c r="L17" s="174"/>
      <c r="M17" s="174"/>
      <c r="N17" s="176"/>
      <c r="O17" s="178"/>
      <c r="P17" s="202"/>
      <c r="Q17" s="200"/>
    </row>
    <row r="18" spans="1:17" ht="15.9" customHeight="1" x14ac:dyDescent="0.25">
      <c r="A18" s="174"/>
      <c r="B18" s="174" t="s">
        <v>170</v>
      </c>
      <c r="C18" s="174"/>
      <c r="D18" s="174"/>
      <c r="E18" s="174"/>
      <c r="F18" s="174"/>
      <c r="G18" s="174"/>
      <c r="H18" s="175"/>
      <c r="I18" s="191"/>
      <c r="J18" s="174"/>
      <c r="K18" s="174"/>
      <c r="L18" s="174"/>
      <c r="M18" s="174"/>
      <c r="N18" s="191"/>
      <c r="O18" s="174"/>
      <c r="P18" s="204" t="s">
        <v>194</v>
      </c>
      <c r="Q18" s="200"/>
    </row>
    <row r="19" spans="1:17" ht="15.9" customHeight="1" x14ac:dyDescent="0.25">
      <c r="A19" s="174"/>
      <c r="B19" s="174" t="s">
        <v>171</v>
      </c>
      <c r="C19" s="174"/>
      <c r="D19" s="174"/>
      <c r="E19" s="174"/>
      <c r="F19" s="174"/>
      <c r="G19" s="174"/>
      <c r="H19" s="175" t="s">
        <v>33</v>
      </c>
      <c r="I19" s="191"/>
      <c r="J19" s="174"/>
      <c r="K19" s="174"/>
      <c r="L19" s="174"/>
      <c r="M19" s="175" t="s">
        <v>33</v>
      </c>
      <c r="N19" s="191"/>
      <c r="O19" s="174"/>
      <c r="P19" s="204" t="s">
        <v>193</v>
      </c>
      <c r="Q19" s="200"/>
    </row>
    <row r="20" spans="1:17" ht="15.9" customHeight="1" x14ac:dyDescent="0.25">
      <c r="A20" s="174"/>
      <c r="B20" s="174" t="s">
        <v>172</v>
      </c>
      <c r="C20" s="174"/>
      <c r="D20" s="174"/>
      <c r="E20" s="174"/>
      <c r="F20" s="174"/>
      <c r="G20" s="174"/>
      <c r="H20" s="175" t="s">
        <v>33</v>
      </c>
      <c r="I20" s="191"/>
      <c r="J20" s="174"/>
      <c r="K20" s="174"/>
      <c r="L20" s="174"/>
      <c r="M20" s="175" t="s">
        <v>33</v>
      </c>
      <c r="N20" s="191"/>
      <c r="O20" s="174"/>
      <c r="P20" s="204" t="s">
        <v>195</v>
      </c>
      <c r="Q20" s="200"/>
    </row>
    <row r="21" spans="1:17" ht="15.9" customHeight="1" x14ac:dyDescent="0.25">
      <c r="A21" s="174"/>
      <c r="B21" s="174" t="s">
        <v>173</v>
      </c>
      <c r="C21" s="174"/>
      <c r="D21" s="174"/>
      <c r="E21" s="174"/>
      <c r="F21" s="270"/>
      <c r="G21" s="270"/>
      <c r="H21" s="175" t="s">
        <v>33</v>
      </c>
      <c r="I21" s="191"/>
      <c r="J21" s="174"/>
      <c r="K21" s="270"/>
      <c r="L21" s="270"/>
      <c r="M21" s="175" t="s">
        <v>33</v>
      </c>
      <c r="N21" s="191"/>
      <c r="O21" s="174"/>
      <c r="P21" s="278" t="s">
        <v>196</v>
      </c>
      <c r="Q21" s="200"/>
    </row>
    <row r="22" spans="1:17" ht="15.9" customHeight="1" x14ac:dyDescent="0.25">
      <c r="A22" s="174"/>
      <c r="B22" s="174" t="s">
        <v>173</v>
      </c>
      <c r="C22" s="174"/>
      <c r="D22" s="174"/>
      <c r="E22" s="174"/>
      <c r="F22" s="270"/>
      <c r="G22" s="270"/>
      <c r="H22" s="175" t="s">
        <v>33</v>
      </c>
      <c r="I22" s="191"/>
      <c r="J22" s="174"/>
      <c r="K22" s="270"/>
      <c r="L22" s="270"/>
      <c r="M22" s="175" t="s">
        <v>33</v>
      </c>
      <c r="N22" s="191"/>
      <c r="O22" s="174"/>
      <c r="P22" s="278"/>
      <c r="Q22" s="200"/>
    </row>
    <row r="23" spans="1:17" ht="15.9" customHeight="1" x14ac:dyDescent="0.25">
      <c r="A23" s="174"/>
      <c r="B23" s="174" t="s">
        <v>173</v>
      </c>
      <c r="C23" s="174"/>
      <c r="D23" s="174"/>
      <c r="E23" s="174"/>
      <c r="F23" s="270"/>
      <c r="G23" s="270"/>
      <c r="H23" s="175" t="s">
        <v>33</v>
      </c>
      <c r="I23" s="191"/>
      <c r="J23" s="174"/>
      <c r="K23" s="270"/>
      <c r="L23" s="270"/>
      <c r="M23" s="175" t="s">
        <v>33</v>
      </c>
      <c r="N23" s="191"/>
      <c r="O23" s="174"/>
      <c r="P23" s="278"/>
      <c r="Q23" s="200"/>
    </row>
    <row r="24" spans="1:17" ht="15.9" customHeight="1" x14ac:dyDescent="0.25">
      <c r="A24" s="174"/>
      <c r="B24" s="174" t="s">
        <v>173</v>
      </c>
      <c r="C24" s="174"/>
      <c r="D24" s="174"/>
      <c r="E24" s="174"/>
      <c r="F24" s="270"/>
      <c r="G24" s="270"/>
      <c r="H24" s="175" t="s">
        <v>33</v>
      </c>
      <c r="I24" s="191"/>
      <c r="J24" s="174"/>
      <c r="K24" s="270"/>
      <c r="L24" s="270"/>
      <c r="M24" s="175" t="s">
        <v>33</v>
      </c>
      <c r="N24" s="191"/>
      <c r="O24" s="174"/>
      <c r="P24" s="278"/>
      <c r="Q24" s="200"/>
    </row>
    <row r="25" spans="1:17" ht="15.9" customHeight="1" x14ac:dyDescent="0.25">
      <c r="A25" s="174"/>
      <c r="B25" s="174"/>
      <c r="C25" s="174"/>
      <c r="D25" s="174"/>
      <c r="E25" s="174"/>
      <c r="F25" s="174"/>
      <c r="G25" s="174"/>
      <c r="H25" s="175"/>
      <c r="I25" s="174"/>
      <c r="J25" s="174"/>
      <c r="K25" s="174"/>
      <c r="L25" s="174"/>
      <c r="M25" s="175"/>
      <c r="N25" s="174"/>
      <c r="O25" s="174"/>
      <c r="P25" s="204"/>
      <c r="Q25" s="200"/>
    </row>
    <row r="26" spans="1:17" ht="15.9" customHeight="1" x14ac:dyDescent="0.25">
      <c r="A26" s="174"/>
      <c r="B26" s="183" t="s">
        <v>179</v>
      </c>
      <c r="C26" s="174"/>
      <c r="D26" s="174"/>
      <c r="E26" s="174"/>
      <c r="F26" s="174"/>
      <c r="G26" s="174"/>
      <c r="H26" s="175"/>
      <c r="I26" s="184"/>
      <c r="J26" s="174"/>
      <c r="K26" s="174"/>
      <c r="L26" s="174"/>
      <c r="M26" s="175"/>
      <c r="N26" s="184"/>
      <c r="O26" s="174"/>
      <c r="P26" s="204"/>
      <c r="Q26" s="200"/>
    </row>
    <row r="27" spans="1:17" ht="6" customHeight="1" x14ac:dyDescent="0.25">
      <c r="A27" s="174"/>
      <c r="B27" s="174"/>
      <c r="C27" s="174"/>
      <c r="D27" s="174"/>
      <c r="E27" s="174"/>
      <c r="F27" s="174"/>
      <c r="G27" s="174"/>
      <c r="H27" s="175"/>
      <c r="I27" s="174"/>
      <c r="J27" s="174"/>
      <c r="K27" s="174"/>
      <c r="L27" s="174"/>
      <c r="M27" s="175"/>
      <c r="N27" s="174"/>
      <c r="O27" s="174"/>
      <c r="P27" s="204"/>
      <c r="Q27" s="200"/>
    </row>
    <row r="28" spans="1:17" ht="15.9" customHeight="1" x14ac:dyDescent="0.25">
      <c r="A28" s="174"/>
      <c r="B28" s="174" t="s">
        <v>174</v>
      </c>
      <c r="C28" s="174"/>
      <c r="D28" s="174"/>
      <c r="E28" s="174"/>
      <c r="F28" s="270"/>
      <c r="G28" s="270"/>
      <c r="H28" s="175" t="s">
        <v>35</v>
      </c>
      <c r="I28" s="132"/>
      <c r="J28" s="174"/>
      <c r="K28" s="270"/>
      <c r="L28" s="270"/>
      <c r="M28" s="175" t="s">
        <v>35</v>
      </c>
      <c r="N28" s="132"/>
      <c r="O28" s="174"/>
      <c r="P28" s="204" t="s">
        <v>191</v>
      </c>
      <c r="Q28" s="200"/>
    </row>
    <row r="29" spans="1:17" ht="15.9" customHeight="1" x14ac:dyDescent="0.25">
      <c r="A29" s="174"/>
      <c r="B29" s="174" t="s">
        <v>174</v>
      </c>
      <c r="C29" s="174"/>
      <c r="D29" s="174"/>
      <c r="E29" s="174"/>
      <c r="F29" s="270"/>
      <c r="G29" s="270"/>
      <c r="H29" s="175" t="s">
        <v>35</v>
      </c>
      <c r="I29" s="132"/>
      <c r="J29" s="174"/>
      <c r="K29" s="270"/>
      <c r="L29" s="270"/>
      <c r="M29" s="175" t="s">
        <v>35</v>
      </c>
      <c r="N29" s="132"/>
      <c r="O29" s="174"/>
      <c r="P29" s="204" t="s">
        <v>192</v>
      </c>
      <c r="Q29" s="200"/>
    </row>
    <row r="30" spans="1:17" ht="15.9" customHeight="1" x14ac:dyDescent="0.25">
      <c r="A30" s="174"/>
      <c r="B30" s="174" t="s">
        <v>174</v>
      </c>
      <c r="C30" s="174"/>
      <c r="D30" s="174"/>
      <c r="E30" s="174"/>
      <c r="F30" s="270"/>
      <c r="G30" s="270"/>
      <c r="H30" s="175" t="s">
        <v>35</v>
      </c>
      <c r="I30" s="132"/>
      <c r="J30" s="174"/>
      <c r="K30" s="270"/>
      <c r="L30" s="270"/>
      <c r="M30" s="175" t="s">
        <v>35</v>
      </c>
      <c r="N30" s="132"/>
      <c r="O30" s="174"/>
      <c r="P30" s="204"/>
      <c r="Q30" s="200"/>
    </row>
    <row r="31" spans="1:17" ht="15.9" customHeight="1" x14ac:dyDescent="0.25">
      <c r="A31" s="174"/>
      <c r="B31" s="174" t="s">
        <v>174</v>
      </c>
      <c r="C31" s="174"/>
      <c r="D31" s="174"/>
      <c r="E31" s="174"/>
      <c r="F31" s="270"/>
      <c r="G31" s="270"/>
      <c r="H31" s="175" t="s">
        <v>35</v>
      </c>
      <c r="I31" s="132"/>
      <c r="J31" s="174"/>
      <c r="K31" s="270"/>
      <c r="L31" s="270"/>
      <c r="M31" s="175" t="s">
        <v>35</v>
      </c>
      <c r="N31" s="132"/>
      <c r="O31" s="174"/>
      <c r="P31" s="204"/>
      <c r="Q31" s="200"/>
    </row>
    <row r="32" spans="1:17" ht="15.9" customHeight="1" x14ac:dyDescent="0.25">
      <c r="A32" s="174"/>
      <c r="B32" s="174" t="s">
        <v>174</v>
      </c>
      <c r="C32" s="174"/>
      <c r="D32" s="174"/>
      <c r="E32" s="174"/>
      <c r="F32" s="270"/>
      <c r="G32" s="270"/>
      <c r="H32" s="175" t="s">
        <v>35</v>
      </c>
      <c r="I32" s="132"/>
      <c r="J32" s="174"/>
      <c r="K32" s="270"/>
      <c r="L32" s="270"/>
      <c r="M32" s="175" t="s">
        <v>35</v>
      </c>
      <c r="N32" s="132"/>
      <c r="O32" s="174"/>
      <c r="P32" s="204"/>
      <c r="Q32" s="200"/>
    </row>
    <row r="33" spans="1:17" ht="15.9" customHeight="1" x14ac:dyDescent="0.25">
      <c r="A33" s="174"/>
      <c r="B33" s="174"/>
      <c r="C33" s="174"/>
      <c r="D33" s="174"/>
      <c r="E33" s="174"/>
      <c r="F33" s="174"/>
      <c r="G33" s="174"/>
      <c r="H33" s="175"/>
      <c r="I33" s="174"/>
      <c r="J33" s="174"/>
      <c r="K33" s="174"/>
      <c r="L33" s="174"/>
      <c r="M33" s="175"/>
      <c r="N33" s="174"/>
      <c r="O33" s="174"/>
      <c r="P33" s="208"/>
      <c r="Q33" s="200"/>
    </row>
    <row r="34" spans="1:17" ht="15.9" customHeight="1" x14ac:dyDescent="0.25">
      <c r="A34" s="174"/>
      <c r="B34" s="183" t="s">
        <v>180</v>
      </c>
      <c r="C34" s="174"/>
      <c r="D34" s="174"/>
      <c r="E34" s="174"/>
      <c r="F34" s="174"/>
      <c r="G34" s="174"/>
      <c r="H34" s="175"/>
      <c r="I34" s="184"/>
      <c r="J34" s="174"/>
      <c r="K34" s="174"/>
      <c r="L34" s="174"/>
      <c r="M34" s="175"/>
      <c r="N34" s="184"/>
      <c r="O34" s="174"/>
      <c r="P34" s="209"/>
      <c r="Q34" s="200"/>
    </row>
    <row r="35" spans="1:17" ht="6" customHeight="1" x14ac:dyDescent="0.25">
      <c r="A35" s="174"/>
      <c r="B35" s="174"/>
      <c r="C35" s="174"/>
      <c r="D35" s="174"/>
      <c r="E35" s="174"/>
      <c r="F35" s="174"/>
      <c r="G35" s="174"/>
      <c r="H35" s="175"/>
      <c r="I35" s="174"/>
      <c r="J35" s="174"/>
      <c r="K35" s="174"/>
      <c r="L35" s="174"/>
      <c r="M35" s="175"/>
      <c r="N35" s="174"/>
      <c r="O35" s="174"/>
      <c r="P35" s="204"/>
      <c r="Q35" s="200"/>
    </row>
    <row r="36" spans="1:17" ht="15.9" customHeight="1" x14ac:dyDescent="0.25">
      <c r="A36" s="185"/>
      <c r="B36" s="269" t="s">
        <v>175</v>
      </c>
      <c r="C36" s="269"/>
      <c r="D36" s="269"/>
      <c r="E36" s="269"/>
      <c r="F36" s="269"/>
      <c r="G36" s="269"/>
      <c r="H36" s="175" t="s">
        <v>35</v>
      </c>
      <c r="I36" s="132"/>
      <c r="J36" s="174"/>
      <c r="K36" s="269"/>
      <c r="L36" s="269"/>
      <c r="M36" s="175" t="s">
        <v>35</v>
      </c>
      <c r="N36" s="132"/>
      <c r="O36" s="185"/>
      <c r="P36" s="278" t="s">
        <v>197</v>
      </c>
      <c r="Q36" s="200"/>
    </row>
    <row r="37" spans="1:17" ht="15.9" customHeight="1" x14ac:dyDescent="0.25">
      <c r="A37" s="197"/>
      <c r="B37" s="269" t="s">
        <v>22</v>
      </c>
      <c r="C37" s="269"/>
      <c r="D37" s="269"/>
      <c r="E37" s="269"/>
      <c r="F37" s="269"/>
      <c r="G37" s="269"/>
      <c r="H37" s="175" t="s">
        <v>35</v>
      </c>
      <c r="I37" s="132"/>
      <c r="J37" s="174"/>
      <c r="K37" s="269"/>
      <c r="L37" s="269"/>
      <c r="M37" s="175" t="s">
        <v>35</v>
      </c>
      <c r="N37" s="132"/>
      <c r="O37" s="186"/>
      <c r="P37" s="278"/>
      <c r="Q37" s="200"/>
    </row>
    <row r="38" spans="1:17" ht="15.9" customHeight="1" x14ac:dyDescent="0.25">
      <c r="A38" s="178"/>
      <c r="B38" s="269" t="s">
        <v>23</v>
      </c>
      <c r="C38" s="269"/>
      <c r="D38" s="269"/>
      <c r="E38" s="269"/>
      <c r="F38" s="269"/>
      <c r="G38" s="269"/>
      <c r="H38" s="175" t="s">
        <v>35</v>
      </c>
      <c r="I38" s="132"/>
      <c r="J38" s="174"/>
      <c r="K38" s="269"/>
      <c r="L38" s="269"/>
      <c r="M38" s="175" t="s">
        <v>35</v>
      </c>
      <c r="N38" s="132"/>
      <c r="O38" s="178"/>
      <c r="P38" s="278"/>
      <c r="Q38" s="200"/>
    </row>
    <row r="39" spans="1:17" ht="15.9" customHeight="1" x14ac:dyDescent="0.25">
      <c r="A39" s="174"/>
      <c r="B39" s="269" t="s">
        <v>176</v>
      </c>
      <c r="C39" s="269"/>
      <c r="D39" s="269"/>
      <c r="E39" s="269"/>
      <c r="F39" s="269"/>
      <c r="G39" s="269"/>
      <c r="H39" s="175" t="s">
        <v>35</v>
      </c>
      <c r="I39" s="132"/>
      <c r="J39" s="174"/>
      <c r="K39" s="269"/>
      <c r="L39" s="269"/>
      <c r="M39" s="175" t="s">
        <v>35</v>
      </c>
      <c r="N39" s="132"/>
      <c r="O39" s="174"/>
      <c r="P39" s="278"/>
      <c r="Q39" s="200"/>
    </row>
    <row r="40" spans="1:17" ht="15.9" customHeight="1" x14ac:dyDescent="0.25">
      <c r="A40" s="174"/>
      <c r="B40" s="269" t="s">
        <v>177</v>
      </c>
      <c r="C40" s="269"/>
      <c r="D40" s="269"/>
      <c r="E40" s="269"/>
      <c r="F40" s="269"/>
      <c r="G40" s="269"/>
      <c r="H40" s="175" t="s">
        <v>35</v>
      </c>
      <c r="I40" s="132"/>
      <c r="J40" s="174"/>
      <c r="K40" s="269"/>
      <c r="L40" s="269"/>
      <c r="M40" s="175" t="s">
        <v>35</v>
      </c>
      <c r="N40" s="132"/>
      <c r="O40" s="174"/>
      <c r="P40" s="278"/>
      <c r="Q40" s="200"/>
    </row>
    <row r="41" spans="1:17" ht="15.9" customHeight="1" x14ac:dyDescent="0.25">
      <c r="A41" s="174"/>
      <c r="B41" s="174"/>
      <c r="C41" s="174"/>
      <c r="D41" s="174"/>
      <c r="E41" s="174"/>
      <c r="F41" s="174"/>
      <c r="G41" s="174"/>
      <c r="H41" s="175"/>
      <c r="I41" s="174"/>
      <c r="J41" s="174"/>
      <c r="K41" s="174"/>
      <c r="L41" s="174"/>
      <c r="M41" s="174"/>
      <c r="N41" s="174"/>
      <c r="O41" s="174"/>
      <c r="P41" s="204"/>
      <c r="Q41" s="200"/>
    </row>
    <row r="42" spans="1:17" ht="15.9" customHeight="1" x14ac:dyDescent="0.25">
      <c r="A42" s="174"/>
      <c r="B42" s="183" t="s">
        <v>181</v>
      </c>
      <c r="C42" s="174"/>
      <c r="D42" s="174"/>
      <c r="E42" s="174"/>
      <c r="F42" s="174"/>
      <c r="G42" s="174"/>
      <c r="H42" s="175"/>
      <c r="I42" s="184"/>
      <c r="J42" s="174"/>
      <c r="K42" s="174"/>
      <c r="L42" s="174"/>
      <c r="M42" s="175"/>
      <c r="N42" s="184"/>
      <c r="O42" s="174"/>
      <c r="P42" s="210"/>
      <c r="Q42" s="200"/>
    </row>
    <row r="43" spans="1:17" ht="6" customHeight="1" x14ac:dyDescent="0.25">
      <c r="A43" s="174"/>
      <c r="B43" s="174"/>
      <c r="C43" s="174"/>
      <c r="D43" s="174"/>
      <c r="E43" s="174"/>
      <c r="F43" s="174"/>
      <c r="G43" s="174"/>
      <c r="H43" s="175"/>
      <c r="I43" s="174"/>
      <c r="J43" s="174"/>
      <c r="K43" s="174"/>
      <c r="L43" s="174"/>
      <c r="M43" s="175"/>
      <c r="N43" s="174"/>
      <c r="O43" s="174"/>
      <c r="P43" s="204"/>
      <c r="Q43" s="200"/>
    </row>
    <row r="44" spans="1:17" ht="15.9" customHeight="1" x14ac:dyDescent="0.25">
      <c r="A44" s="174"/>
      <c r="B44" s="174" t="s">
        <v>183</v>
      </c>
      <c r="C44" s="174"/>
      <c r="D44" s="174"/>
      <c r="E44" s="174"/>
      <c r="F44" s="174"/>
      <c r="G44" s="174"/>
      <c r="H44" s="175"/>
      <c r="I44" s="174"/>
      <c r="J44" s="174"/>
      <c r="K44" s="174"/>
      <c r="L44" s="174"/>
      <c r="M44" s="175"/>
      <c r="N44" s="174"/>
      <c r="O44" s="174"/>
      <c r="P44" s="204"/>
      <c r="Q44" s="200"/>
    </row>
    <row r="45" spans="1:17" ht="15.9" customHeight="1" x14ac:dyDescent="0.25">
      <c r="A45" s="174"/>
      <c r="B45" s="269" t="s">
        <v>24</v>
      </c>
      <c r="C45" s="269"/>
      <c r="D45" s="269"/>
      <c r="E45" s="269"/>
      <c r="F45" s="270"/>
      <c r="G45" s="270"/>
      <c r="H45" s="175" t="s">
        <v>35</v>
      </c>
      <c r="I45" s="132"/>
      <c r="J45" s="174"/>
      <c r="K45" s="270"/>
      <c r="L45" s="270"/>
      <c r="M45" s="175" t="s">
        <v>35</v>
      </c>
      <c r="N45" s="132"/>
      <c r="O45" s="174"/>
      <c r="P45" s="278" t="s">
        <v>206</v>
      </c>
      <c r="Q45" s="200"/>
    </row>
    <row r="46" spans="1:17" ht="15.9" customHeight="1" x14ac:dyDescent="0.25">
      <c r="A46" s="174"/>
      <c r="B46" s="269" t="s">
        <v>25</v>
      </c>
      <c r="C46" s="269"/>
      <c r="D46" s="269"/>
      <c r="E46" s="269"/>
      <c r="F46" s="270"/>
      <c r="G46" s="270"/>
      <c r="H46" s="175" t="s">
        <v>35</v>
      </c>
      <c r="I46" s="132"/>
      <c r="J46" s="174"/>
      <c r="K46" s="270"/>
      <c r="L46" s="270"/>
      <c r="M46" s="175" t="s">
        <v>35</v>
      </c>
      <c r="N46" s="132"/>
      <c r="O46" s="174"/>
      <c r="P46" s="279"/>
      <c r="Q46" s="200"/>
    </row>
    <row r="47" spans="1:17" ht="15.9" customHeight="1" x14ac:dyDescent="0.25">
      <c r="A47" s="174"/>
      <c r="B47" s="269" t="s">
        <v>205</v>
      </c>
      <c r="C47" s="269"/>
      <c r="D47" s="269"/>
      <c r="E47" s="269"/>
      <c r="F47" s="270"/>
      <c r="G47" s="270"/>
      <c r="H47" s="175" t="s">
        <v>35</v>
      </c>
      <c r="I47" s="132"/>
      <c r="J47" s="174"/>
      <c r="K47" s="270"/>
      <c r="L47" s="270"/>
      <c r="M47" s="175" t="s">
        <v>35</v>
      </c>
      <c r="N47" s="132"/>
      <c r="O47" s="174"/>
      <c r="P47" s="279"/>
      <c r="Q47" s="200"/>
    </row>
    <row r="48" spans="1:17" ht="15.9" customHeight="1" x14ac:dyDescent="0.25">
      <c r="A48" s="174"/>
      <c r="B48" s="269" t="s">
        <v>207</v>
      </c>
      <c r="C48" s="269"/>
      <c r="D48" s="269"/>
      <c r="E48" s="269"/>
      <c r="F48" s="270"/>
      <c r="G48" s="270"/>
      <c r="H48" s="175" t="s">
        <v>35</v>
      </c>
      <c r="I48" s="132"/>
      <c r="J48" s="174"/>
      <c r="K48" s="270"/>
      <c r="L48" s="270"/>
      <c r="M48" s="175" t="s">
        <v>35</v>
      </c>
      <c r="N48" s="132"/>
      <c r="O48" s="174"/>
      <c r="P48" s="279"/>
      <c r="Q48" s="200"/>
    </row>
    <row r="49" spans="1:17" ht="15.9" customHeight="1" x14ac:dyDescent="0.25">
      <c r="A49" s="178"/>
      <c r="B49" s="269" t="s">
        <v>208</v>
      </c>
      <c r="C49" s="269"/>
      <c r="D49" s="269"/>
      <c r="E49" s="269"/>
      <c r="F49" s="270"/>
      <c r="G49" s="270"/>
      <c r="H49" s="175" t="s">
        <v>35</v>
      </c>
      <c r="I49" s="132"/>
      <c r="J49" s="174"/>
      <c r="K49" s="270"/>
      <c r="L49" s="270"/>
      <c r="M49" s="175" t="s">
        <v>35</v>
      </c>
      <c r="N49" s="132"/>
      <c r="O49" s="178"/>
      <c r="P49" s="279"/>
      <c r="Q49" s="200"/>
    </row>
    <row r="50" spans="1:17" ht="15.9" customHeight="1" x14ac:dyDescent="0.25">
      <c r="A50" s="185"/>
      <c r="B50" s="269" t="s">
        <v>182</v>
      </c>
      <c r="C50" s="269"/>
      <c r="D50" s="269"/>
      <c r="E50" s="269"/>
      <c r="F50" s="270"/>
      <c r="G50" s="270"/>
      <c r="H50" s="175" t="s">
        <v>35</v>
      </c>
      <c r="I50" s="132"/>
      <c r="J50" s="174"/>
      <c r="K50" s="270"/>
      <c r="L50" s="270"/>
      <c r="M50" s="175" t="s">
        <v>35</v>
      </c>
      <c r="N50" s="132"/>
      <c r="O50" s="192"/>
      <c r="P50" s="279"/>
      <c r="Q50" s="200"/>
    </row>
    <row r="51" spans="1:17" ht="15.9" customHeight="1" x14ac:dyDescent="0.25">
      <c r="A51" s="197"/>
      <c r="B51" s="174"/>
      <c r="C51" s="174"/>
      <c r="D51" s="174"/>
      <c r="E51" s="174"/>
      <c r="F51" s="174"/>
      <c r="G51" s="174"/>
      <c r="H51" s="175"/>
      <c r="I51" s="174"/>
      <c r="J51" s="174"/>
      <c r="K51" s="174"/>
      <c r="L51" s="174"/>
      <c r="M51" s="174"/>
      <c r="N51" s="174"/>
      <c r="O51" s="186"/>
      <c r="P51" s="204"/>
      <c r="Q51" s="200"/>
    </row>
    <row r="52" spans="1:17" s="39" customFormat="1" ht="15.9" customHeight="1" x14ac:dyDescent="0.25">
      <c r="A52" s="198"/>
      <c r="B52" s="183" t="s">
        <v>184</v>
      </c>
      <c r="C52" s="183"/>
      <c r="D52" s="183"/>
      <c r="E52" s="183"/>
      <c r="F52" s="183"/>
      <c r="G52" s="183"/>
      <c r="H52" s="175"/>
      <c r="I52" s="193">
        <f>IF(SUM(I18:I24)-SUM(I28:I32)-SUM(I36:I40)-SUM(I45:I50)&lt;0,0,SUM(I18:I24)-SUM(I28:I32)-SUM(I36:I40)-SUM(I45:I50))</f>
        <v>0</v>
      </c>
      <c r="J52" s="183"/>
      <c r="K52" s="183"/>
      <c r="L52" s="183"/>
      <c r="M52" s="175"/>
      <c r="N52" s="193">
        <f>IF(SUM(N18:N24)-SUM(N28:N32)-SUM(N36:N40)-SUM(N45:N50)&lt;0,0,SUM(N18:N24)-SUM(N28:N32)-SUM(N36:N40)-SUM(N45:N50))</f>
        <v>0</v>
      </c>
      <c r="O52" s="194"/>
      <c r="P52" s="211"/>
      <c r="Q52" s="206"/>
    </row>
    <row r="53" spans="1:17" ht="15.9" customHeight="1" x14ac:dyDescent="0.25">
      <c r="A53" s="197"/>
      <c r="B53" s="174" t="s">
        <v>185</v>
      </c>
      <c r="C53" s="174"/>
      <c r="D53" s="174"/>
      <c r="E53" s="174"/>
      <c r="F53" s="174"/>
      <c r="G53" s="174"/>
      <c r="H53" s="175"/>
      <c r="I53" s="174"/>
      <c r="J53" s="174"/>
      <c r="K53" s="174"/>
      <c r="L53" s="174"/>
      <c r="M53" s="174"/>
      <c r="N53" s="176"/>
      <c r="O53" s="186"/>
      <c r="P53" s="204"/>
      <c r="Q53" s="200"/>
    </row>
    <row r="54" spans="1:17" ht="15.9" customHeight="1" x14ac:dyDescent="0.25">
      <c r="A54" s="197"/>
      <c r="B54" s="174"/>
      <c r="C54" s="174"/>
      <c r="D54" s="174"/>
      <c r="E54" s="174"/>
      <c r="F54" s="174"/>
      <c r="G54" s="174"/>
      <c r="H54" s="175"/>
      <c r="I54" s="174"/>
      <c r="J54" s="174"/>
      <c r="K54" s="174"/>
      <c r="L54" s="174"/>
      <c r="M54" s="174"/>
      <c r="N54" s="176"/>
      <c r="O54" s="186"/>
      <c r="P54" s="204"/>
      <c r="Q54" s="200"/>
    </row>
    <row r="55" spans="1:17" ht="15.9" customHeight="1" x14ac:dyDescent="0.25">
      <c r="A55" s="197"/>
      <c r="B55" s="174"/>
      <c r="C55" s="174"/>
      <c r="D55" s="174"/>
      <c r="E55" s="174"/>
      <c r="F55" s="174"/>
      <c r="G55" s="174"/>
      <c r="H55" s="175"/>
      <c r="I55" s="174"/>
      <c r="J55" s="174"/>
      <c r="K55" s="174"/>
      <c r="L55" s="174"/>
      <c r="M55" s="174"/>
      <c r="N55" s="176"/>
      <c r="O55" s="186"/>
      <c r="P55" s="204"/>
      <c r="Q55" s="200"/>
    </row>
    <row r="56" spans="1:17" ht="15.9" customHeight="1" x14ac:dyDescent="0.25">
      <c r="A56" s="197"/>
      <c r="B56" s="183" t="s">
        <v>188</v>
      </c>
      <c r="C56" s="174"/>
      <c r="D56" s="174"/>
      <c r="E56" s="174"/>
      <c r="F56" s="174"/>
      <c r="G56" s="174"/>
      <c r="H56" s="175"/>
      <c r="I56" s="174"/>
      <c r="J56" s="174"/>
      <c r="K56" s="174"/>
      <c r="L56" s="174"/>
      <c r="M56" s="174"/>
      <c r="N56" s="176"/>
      <c r="O56" s="186"/>
      <c r="P56" s="204"/>
      <c r="Q56" s="200"/>
    </row>
    <row r="57" spans="1:17" ht="15.9" customHeight="1" x14ac:dyDescent="0.25">
      <c r="A57" s="178"/>
      <c r="B57" s="277"/>
      <c r="C57" s="277"/>
      <c r="D57" s="277"/>
      <c r="E57" s="277"/>
      <c r="F57" s="277"/>
      <c r="G57" s="277"/>
      <c r="H57" s="277"/>
      <c r="I57" s="277"/>
      <c r="J57" s="277"/>
      <c r="K57" s="277"/>
      <c r="L57" s="277"/>
      <c r="M57" s="277"/>
      <c r="N57" s="277"/>
      <c r="O57" s="195"/>
      <c r="P57" s="202"/>
      <c r="Q57" s="200"/>
    </row>
    <row r="58" spans="1:17" ht="15.9" customHeight="1" x14ac:dyDescent="0.25">
      <c r="A58" s="197"/>
      <c r="B58" s="277"/>
      <c r="C58" s="277"/>
      <c r="D58" s="277"/>
      <c r="E58" s="277"/>
      <c r="F58" s="277"/>
      <c r="G58" s="277"/>
      <c r="H58" s="277"/>
      <c r="I58" s="277"/>
      <c r="J58" s="277"/>
      <c r="K58" s="277"/>
      <c r="L58" s="277"/>
      <c r="M58" s="277"/>
      <c r="N58" s="277"/>
      <c r="O58" s="186"/>
      <c r="P58" s="204"/>
      <c r="Q58" s="200"/>
    </row>
    <row r="59" spans="1:17" ht="15.9" customHeight="1" x14ac:dyDescent="0.25">
      <c r="A59" s="197"/>
      <c r="B59" s="277"/>
      <c r="C59" s="277"/>
      <c r="D59" s="277"/>
      <c r="E59" s="277"/>
      <c r="F59" s="277"/>
      <c r="G59" s="277"/>
      <c r="H59" s="277"/>
      <c r="I59" s="277"/>
      <c r="J59" s="277"/>
      <c r="K59" s="277"/>
      <c r="L59" s="277"/>
      <c r="M59" s="277"/>
      <c r="N59" s="277"/>
      <c r="O59" s="186"/>
      <c r="P59" s="204"/>
      <c r="Q59" s="200"/>
    </row>
    <row r="60" spans="1:17" ht="15.9" customHeight="1" x14ac:dyDescent="0.25">
      <c r="A60" s="187"/>
      <c r="B60" s="277"/>
      <c r="C60" s="277"/>
      <c r="D60" s="277"/>
      <c r="E60" s="277"/>
      <c r="F60" s="277"/>
      <c r="G60" s="277"/>
      <c r="H60" s="277"/>
      <c r="I60" s="277"/>
      <c r="J60" s="277"/>
      <c r="K60" s="277"/>
      <c r="L60" s="277"/>
      <c r="M60" s="277"/>
      <c r="N60" s="277"/>
      <c r="O60" s="196"/>
      <c r="P60" s="212"/>
      <c r="Q60" s="200"/>
    </row>
    <row r="61" spans="1:17" ht="15.9" customHeight="1" x14ac:dyDescent="0.25">
      <c r="A61" s="197"/>
      <c r="B61" s="277"/>
      <c r="C61" s="277"/>
      <c r="D61" s="277"/>
      <c r="E61" s="277"/>
      <c r="F61" s="277"/>
      <c r="G61" s="277"/>
      <c r="H61" s="277"/>
      <c r="I61" s="277"/>
      <c r="J61" s="277"/>
      <c r="K61" s="277"/>
      <c r="L61" s="277"/>
      <c r="M61" s="277"/>
      <c r="N61" s="277"/>
      <c r="O61" s="186"/>
      <c r="P61" s="212"/>
      <c r="Q61" s="200"/>
    </row>
    <row r="62" spans="1:17" ht="15.9" customHeight="1" x14ac:dyDescent="0.25">
      <c r="A62" s="197"/>
      <c r="B62" s="174"/>
      <c r="C62" s="174"/>
      <c r="D62" s="174"/>
      <c r="E62" s="174"/>
      <c r="F62" s="174"/>
      <c r="G62" s="174"/>
      <c r="H62" s="175"/>
      <c r="I62" s="174"/>
      <c r="J62" s="174"/>
      <c r="K62" s="174"/>
      <c r="L62" s="174"/>
      <c r="M62" s="174"/>
      <c r="N62" s="176"/>
      <c r="O62" s="186"/>
      <c r="P62" s="212"/>
      <c r="Q62" s="200"/>
    </row>
    <row r="63" spans="1:17" ht="15.9" customHeight="1" x14ac:dyDescent="0.25">
      <c r="A63" s="31"/>
      <c r="O63" s="43"/>
      <c r="P63" s="44"/>
    </row>
    <row r="64" spans="1:17" ht="15.9" customHeight="1" x14ac:dyDescent="0.25">
      <c r="A64" s="35"/>
      <c r="O64" s="36"/>
      <c r="P64" s="37"/>
    </row>
    <row r="65" spans="1:16" ht="15.9" customHeight="1" x14ac:dyDescent="0.25">
      <c r="P65" s="275"/>
    </row>
    <row r="66" spans="1:16" ht="15.9" customHeight="1" x14ac:dyDescent="0.25">
      <c r="A66" s="28"/>
      <c r="O66" s="28"/>
      <c r="P66" s="275"/>
    </row>
    <row r="67" spans="1:16" ht="15.9" customHeight="1" x14ac:dyDescent="0.25">
      <c r="P67" s="275"/>
    </row>
    <row r="68" spans="1:16" ht="15.9" customHeight="1" x14ac:dyDescent="0.25">
      <c r="P68" s="30"/>
    </row>
    <row r="69" spans="1:16" ht="15.9" customHeight="1" x14ac:dyDescent="0.25">
      <c r="P69" s="273"/>
    </row>
    <row r="70" spans="1:16" ht="15.9" customHeight="1" x14ac:dyDescent="0.25">
      <c r="P70" s="273"/>
    </row>
    <row r="71" spans="1:16" ht="15.9" customHeight="1" x14ac:dyDescent="0.25">
      <c r="P71" s="273"/>
    </row>
    <row r="72" spans="1:16" ht="15.9" customHeight="1" x14ac:dyDescent="0.25">
      <c r="P72" s="273"/>
    </row>
    <row r="73" spans="1:16" ht="15.9" customHeight="1" x14ac:dyDescent="0.25">
      <c r="P73" s="273"/>
    </row>
    <row r="74" spans="1:16" ht="15.9" customHeight="1" x14ac:dyDescent="0.25">
      <c r="P74" s="273"/>
    </row>
    <row r="75" spans="1:16" ht="15.9" customHeight="1" x14ac:dyDescent="0.25">
      <c r="P75" s="273"/>
    </row>
    <row r="76" spans="1:16" ht="15.9" customHeight="1" x14ac:dyDescent="0.25">
      <c r="P76" s="274"/>
    </row>
    <row r="77" spans="1:16" ht="15.9" customHeight="1" x14ac:dyDescent="0.25">
      <c r="P77" s="274"/>
    </row>
    <row r="78" spans="1:16" ht="15.9" customHeight="1" x14ac:dyDescent="0.25">
      <c r="P78" s="30"/>
    </row>
    <row r="79" spans="1:16" ht="15.9" customHeight="1" x14ac:dyDescent="0.25">
      <c r="P79" s="30"/>
    </row>
    <row r="80" spans="1:16" ht="15.9" customHeight="1" x14ac:dyDescent="0.25">
      <c r="P80" s="30"/>
    </row>
    <row r="81" spans="1:16" ht="15.9" customHeight="1" x14ac:dyDescent="0.25">
      <c r="P81" s="30"/>
    </row>
    <row r="82" spans="1:16" ht="15.9" customHeight="1" x14ac:dyDescent="0.25">
      <c r="P82" s="30"/>
    </row>
    <row r="83" spans="1:16" ht="15.9" customHeight="1" x14ac:dyDescent="0.25">
      <c r="P83" s="30"/>
    </row>
    <row r="84" spans="1:16" ht="15.9" customHeight="1" x14ac:dyDescent="0.25">
      <c r="P84" s="30"/>
    </row>
    <row r="85" spans="1:16" ht="15.9" customHeight="1" x14ac:dyDescent="0.25">
      <c r="A85" s="31"/>
      <c r="O85" s="43"/>
      <c r="P85" s="44"/>
    </row>
    <row r="86" spans="1:16" ht="15.9" customHeight="1" x14ac:dyDescent="0.25">
      <c r="A86" s="28"/>
      <c r="O86" s="28"/>
      <c r="P86" s="27"/>
    </row>
    <row r="87" spans="1:16" ht="15.9" customHeight="1" x14ac:dyDescent="0.25">
      <c r="P87" s="273"/>
    </row>
    <row r="88" spans="1:16" ht="15.9" customHeight="1" x14ac:dyDescent="0.25">
      <c r="P88" s="273"/>
    </row>
    <row r="89" spans="1:16" ht="15.9" customHeight="1" x14ac:dyDescent="0.25">
      <c r="P89" s="273"/>
    </row>
    <row r="90" spans="1:16" ht="15.9" customHeight="1" x14ac:dyDescent="0.25">
      <c r="P90" s="273"/>
    </row>
    <row r="91" spans="1:16" ht="15.9" customHeight="1" x14ac:dyDescent="0.25">
      <c r="A91" s="41"/>
      <c r="O91" s="42"/>
      <c r="P91" s="40"/>
    </row>
    <row r="92" spans="1:16" ht="15.9" customHeight="1" x14ac:dyDescent="0.25">
      <c r="A92" s="41"/>
      <c r="O92" s="42"/>
      <c r="P92" s="45"/>
    </row>
    <row r="93" spans="1:16" ht="15.9" customHeight="1" x14ac:dyDescent="0.25">
      <c r="A93" s="41"/>
      <c r="O93" s="42"/>
      <c r="P93" s="30"/>
    </row>
    <row r="94" spans="1:16" ht="15.9" customHeight="1" x14ac:dyDescent="0.25">
      <c r="P94" s="30"/>
    </row>
    <row r="95" spans="1:16" ht="15.9" customHeight="1" x14ac:dyDescent="0.25">
      <c r="A95" s="31"/>
      <c r="O95" s="31"/>
      <c r="P95" s="44"/>
    </row>
    <row r="96" spans="1:16" ht="15.9" customHeight="1" x14ac:dyDescent="0.25">
      <c r="A96" s="28"/>
      <c r="O96" s="28"/>
      <c r="P96" s="27"/>
    </row>
    <row r="97" spans="1:16" ht="15.9" customHeight="1" x14ac:dyDescent="0.25">
      <c r="A97" s="41"/>
      <c r="O97" s="41"/>
      <c r="P97" s="30"/>
    </row>
    <row r="98" spans="1:16" ht="15.9" customHeight="1" x14ac:dyDescent="0.25">
      <c r="A98" s="41"/>
      <c r="O98" s="41"/>
      <c r="P98" s="30"/>
    </row>
    <row r="99" spans="1:16" ht="15.9" customHeight="1" x14ac:dyDescent="0.25">
      <c r="A99" s="41"/>
      <c r="O99" s="41"/>
      <c r="P99" s="30"/>
    </row>
    <row r="100" spans="1:16" ht="15.9" customHeight="1" x14ac:dyDescent="0.25">
      <c r="A100" s="41"/>
      <c r="O100" s="41"/>
      <c r="P100" s="30"/>
    </row>
    <row r="101" spans="1:16" ht="15.9" customHeight="1" x14ac:dyDescent="0.25">
      <c r="A101" s="41"/>
      <c r="O101" s="41"/>
      <c r="P101" s="273"/>
    </row>
    <row r="102" spans="1:16" ht="15.9" customHeight="1" x14ac:dyDescent="0.25">
      <c r="A102" s="41"/>
      <c r="O102" s="41"/>
      <c r="P102" s="273"/>
    </row>
    <row r="103" spans="1:16" ht="15.9" customHeight="1" x14ac:dyDescent="0.25">
      <c r="A103" s="41"/>
      <c r="O103" s="41"/>
      <c r="P103" s="46"/>
    </row>
    <row r="104" spans="1:16" ht="15.9" customHeight="1" x14ac:dyDescent="0.25">
      <c r="A104" s="41"/>
      <c r="O104" s="41"/>
      <c r="P104" s="273"/>
    </row>
    <row r="105" spans="1:16" ht="15.9" customHeight="1" x14ac:dyDescent="0.25">
      <c r="P105" s="273"/>
    </row>
    <row r="106" spans="1:16" ht="15.9" customHeight="1" x14ac:dyDescent="0.25">
      <c r="O106" s="38"/>
      <c r="P106" s="30"/>
    </row>
    <row r="107" spans="1:16" ht="15.9" customHeight="1" x14ac:dyDescent="0.25">
      <c r="P107" s="30"/>
    </row>
    <row r="108" spans="1:16" ht="15.9" customHeight="1" x14ac:dyDescent="0.25">
      <c r="A108" s="31"/>
      <c r="O108" s="31"/>
      <c r="P108" s="44"/>
    </row>
    <row r="109" spans="1:16" ht="15.9" customHeight="1" x14ac:dyDescent="0.25">
      <c r="A109" s="28"/>
      <c r="O109" s="28"/>
      <c r="P109" s="27"/>
    </row>
    <row r="110" spans="1:16" ht="15.9" customHeight="1" x14ac:dyDescent="0.25">
      <c r="P110" s="30"/>
    </row>
    <row r="111" spans="1:16" ht="15.9" customHeight="1" x14ac:dyDescent="0.25">
      <c r="P111" s="30"/>
    </row>
    <row r="112" spans="1:16" ht="15.9" customHeight="1" x14ac:dyDescent="0.25">
      <c r="P112" s="40"/>
    </row>
    <row r="113" spans="1:16" ht="15.9" customHeight="1" x14ac:dyDescent="0.25">
      <c r="P113" s="30"/>
    </row>
    <row r="114" spans="1:16" ht="15.9" customHeight="1" x14ac:dyDescent="0.25">
      <c r="P114" s="30"/>
    </row>
    <row r="115" spans="1:16" ht="15.9" customHeight="1" x14ac:dyDescent="0.25">
      <c r="P115" s="40"/>
    </row>
    <row r="116" spans="1:16" ht="15.9" customHeight="1" x14ac:dyDescent="0.25">
      <c r="P116" s="30"/>
    </row>
    <row r="117" spans="1:16" ht="15.9" customHeight="1" x14ac:dyDescent="0.25">
      <c r="P117" s="30"/>
    </row>
    <row r="118" spans="1:16" ht="15.9" customHeight="1" x14ac:dyDescent="0.25">
      <c r="A118" s="31"/>
      <c r="O118" s="31"/>
      <c r="P118" s="44"/>
    </row>
    <row r="119" spans="1:16" ht="15.9" customHeight="1" x14ac:dyDescent="0.25">
      <c r="A119" s="28"/>
      <c r="O119" s="28"/>
      <c r="P119" s="27"/>
    </row>
    <row r="120" spans="1:16" ht="15.9" customHeight="1" x14ac:dyDescent="0.25">
      <c r="P120" s="30"/>
    </row>
    <row r="121" spans="1:16" ht="15.9" customHeight="1" x14ac:dyDescent="0.25">
      <c r="P121" s="30"/>
    </row>
    <row r="122" spans="1:16" ht="15.9" customHeight="1" x14ac:dyDescent="0.25">
      <c r="A122" s="31"/>
      <c r="O122" s="31"/>
      <c r="P122" s="44"/>
    </row>
    <row r="123" spans="1:16" ht="15.9" customHeight="1" x14ac:dyDescent="0.25">
      <c r="A123" s="47"/>
      <c r="O123" s="47"/>
      <c r="P123" s="37"/>
    </row>
    <row r="124" spans="1:16" ht="15.9" customHeight="1" x14ac:dyDescent="0.25">
      <c r="P124" s="30"/>
    </row>
    <row r="125" spans="1:16" ht="15.9" customHeight="1" x14ac:dyDescent="0.25">
      <c r="P125" s="30"/>
    </row>
    <row r="126" spans="1:16" ht="15.9" customHeight="1" x14ac:dyDescent="0.25">
      <c r="P126" s="30"/>
    </row>
    <row r="127" spans="1:16" ht="15.9" customHeight="1" x14ac:dyDescent="0.25">
      <c r="P127" s="40"/>
    </row>
    <row r="128" spans="1:16" ht="15.9" customHeight="1" x14ac:dyDescent="0.25">
      <c r="P128" s="30"/>
    </row>
    <row r="129" spans="1:16" ht="15.9" customHeight="1" x14ac:dyDescent="0.25">
      <c r="P129" s="30"/>
    </row>
    <row r="130" spans="1:16" ht="15.9" customHeight="1" x14ac:dyDescent="0.25">
      <c r="A130" s="47"/>
      <c r="O130" s="47"/>
      <c r="P130" s="37"/>
    </row>
    <row r="131" spans="1:16" ht="15.9" customHeight="1" x14ac:dyDescent="0.25">
      <c r="A131" s="48"/>
      <c r="O131" s="48"/>
      <c r="P131" s="30"/>
    </row>
  </sheetData>
  <sheetProtection sheet="1" objects="1" scenarios="1" selectLockedCells="1"/>
  <mergeCells count="66">
    <mergeCell ref="B45:E45"/>
    <mergeCell ref="F45:G45"/>
    <mergeCell ref="B46:E46"/>
    <mergeCell ref="F46:G46"/>
    <mergeCell ref="B47:E47"/>
    <mergeCell ref="K48:L48"/>
    <mergeCell ref="K45:L45"/>
    <mergeCell ref="K46:L46"/>
    <mergeCell ref="K39:L39"/>
    <mergeCell ref="K40:L40"/>
    <mergeCell ref="B57:N61"/>
    <mergeCell ref="P21:P24"/>
    <mergeCell ref="P36:P40"/>
    <mergeCell ref="P45:P50"/>
    <mergeCell ref="B36:G36"/>
    <mergeCell ref="B37:G37"/>
    <mergeCell ref="B38:G38"/>
    <mergeCell ref="K37:L37"/>
    <mergeCell ref="K38:L38"/>
    <mergeCell ref="K49:L49"/>
    <mergeCell ref="F31:G31"/>
    <mergeCell ref="K31:L31"/>
    <mergeCell ref="B39:G39"/>
    <mergeCell ref="B40:G40"/>
    <mergeCell ref="K50:L50"/>
    <mergeCell ref="K47:L47"/>
    <mergeCell ref="F32:G32"/>
    <mergeCell ref="K32:L32"/>
    <mergeCell ref="K36:L36"/>
    <mergeCell ref="B5:D5"/>
    <mergeCell ref="B6:D6"/>
    <mergeCell ref="B8:D8"/>
    <mergeCell ref="F8:I8"/>
    <mergeCell ref="K8:M8"/>
    <mergeCell ref="F30:G30"/>
    <mergeCell ref="K30:L30"/>
    <mergeCell ref="F28:G28"/>
    <mergeCell ref="K28:L28"/>
    <mergeCell ref="F29:G29"/>
    <mergeCell ref="K29:L29"/>
    <mergeCell ref="F24:G24"/>
    <mergeCell ref="K24:L24"/>
    <mergeCell ref="P101:P102"/>
    <mergeCell ref="P104:P105"/>
    <mergeCell ref="P87:P90"/>
    <mergeCell ref="P76:P77"/>
    <mergeCell ref="P65:P67"/>
    <mergeCell ref="P69:P75"/>
    <mergeCell ref="F21:G21"/>
    <mergeCell ref="K21:L21"/>
    <mergeCell ref="F22:G22"/>
    <mergeCell ref="K22:L22"/>
    <mergeCell ref="F23:G23"/>
    <mergeCell ref="K23:L23"/>
    <mergeCell ref="B9:D9"/>
    <mergeCell ref="F9:I9"/>
    <mergeCell ref="K9:N9"/>
    <mergeCell ref="B12:H12"/>
    <mergeCell ref="K3:L3"/>
    <mergeCell ref="B50:E50"/>
    <mergeCell ref="F50:G50"/>
    <mergeCell ref="F47:G47"/>
    <mergeCell ref="B48:E48"/>
    <mergeCell ref="F48:G48"/>
    <mergeCell ref="B49:E49"/>
    <mergeCell ref="F49:G49"/>
  </mergeCells>
  <pageMargins left="0.78740157480314965" right="0.19685039370078741" top="0.39370078740157483" bottom="0.39370078740157483" header="0.31496062992125984" footer="0.31496062992125984"/>
  <pageSetup paperSize="9" scale="74" orientation="portrait" blackAndWhite="1" r:id="rId1"/>
  <headerFooter>
    <oddFooter>&amp;RSeite &amp;P/&amp;N
&amp;A - &amp;F</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Auswahlwerte!$B$25:$B$27</xm:f>
          </x14:formula1>
          <xm:sqref>G14</xm:sqref>
        </x14:dataValidation>
        <x14:dataValidation type="list" allowBlank="1" showInputMessage="1" showErrorMessage="1" xr:uid="{00000000-0002-0000-0100-000001000000}">
          <x14:formula1>
            <xm:f>Auswahlwerte!$B$29:$B$31</xm:f>
          </x14:formula1>
          <xm:sqref>L14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4"/>
  <sheetViews>
    <sheetView workbookViewId="0">
      <pane ySplit="1" topLeftCell="A2" activePane="bottomLeft" state="frozen"/>
      <selection pane="bottomLeft" activeCell="C35" sqref="C35"/>
    </sheetView>
  </sheetViews>
  <sheetFormatPr baseColWidth="10" defaultRowHeight="13.2" x14ac:dyDescent="0.25"/>
  <cols>
    <col min="1" max="1" width="35.5546875" customWidth="1"/>
    <col min="2" max="2" width="14.88671875" bestFit="1" customWidth="1"/>
    <col min="3" max="3" width="14.44140625" style="6" customWidth="1"/>
    <col min="4" max="4" width="23.33203125" bestFit="1" customWidth="1"/>
    <col min="5" max="6" width="26.5546875" bestFit="1" customWidth="1"/>
    <col min="7" max="7" width="23.33203125" bestFit="1" customWidth="1"/>
    <col min="8" max="8" width="23.44140625" bestFit="1" customWidth="1"/>
    <col min="9" max="9" width="23.33203125" bestFit="1" customWidth="1"/>
    <col min="10" max="10" width="22.6640625" bestFit="1" customWidth="1"/>
    <col min="11" max="12" width="23.6640625" bestFit="1" customWidth="1"/>
    <col min="13" max="14" width="23.44140625" bestFit="1" customWidth="1"/>
    <col min="15" max="15" width="23.6640625" bestFit="1" customWidth="1"/>
  </cols>
  <sheetData>
    <row r="1" spans="1:15" s="4" customFormat="1" x14ac:dyDescent="0.25">
      <c r="A1" s="4" t="s">
        <v>4</v>
      </c>
      <c r="B1" s="4" t="s">
        <v>5</v>
      </c>
      <c r="C1" s="5" t="s">
        <v>10</v>
      </c>
    </row>
    <row r="3" spans="1:15" x14ac:dyDescent="0.25">
      <c r="A3" t="s">
        <v>3</v>
      </c>
      <c r="B3" t="s">
        <v>6</v>
      </c>
      <c r="C3" s="6">
        <v>0</v>
      </c>
    </row>
    <row r="4" spans="1:15" x14ac:dyDescent="0.25">
      <c r="B4" t="s">
        <v>7</v>
      </c>
      <c r="C4" s="6">
        <v>1</v>
      </c>
    </row>
    <row r="5" spans="1:15" x14ac:dyDescent="0.25">
      <c r="B5" t="s">
        <v>8</v>
      </c>
      <c r="C5" s="6">
        <v>2</v>
      </c>
    </row>
    <row r="6" spans="1:15" x14ac:dyDescent="0.25">
      <c r="B6" t="s">
        <v>11</v>
      </c>
      <c r="C6" s="6">
        <v>3</v>
      </c>
    </row>
    <row r="8" spans="1:15" x14ac:dyDescent="0.25">
      <c r="A8" t="s">
        <v>16</v>
      </c>
      <c r="B8" t="s">
        <v>6</v>
      </c>
      <c r="C8" s="6">
        <v>0</v>
      </c>
      <c r="D8" t="s">
        <v>31</v>
      </c>
      <c r="E8" t="s">
        <v>31</v>
      </c>
      <c r="F8" t="s">
        <v>31</v>
      </c>
      <c r="G8" t="s">
        <v>31</v>
      </c>
      <c r="H8" t="s">
        <v>31</v>
      </c>
      <c r="I8" t="s">
        <v>31</v>
      </c>
      <c r="J8" t="s">
        <v>31</v>
      </c>
      <c r="K8" t="s">
        <v>31</v>
      </c>
      <c r="L8" t="s">
        <v>31</v>
      </c>
      <c r="M8" t="s">
        <v>31</v>
      </c>
      <c r="N8" t="s">
        <v>31</v>
      </c>
      <c r="O8" t="s">
        <v>31</v>
      </c>
    </row>
    <row r="9" spans="1:15" x14ac:dyDescent="0.25">
      <c r="A9" s="8" t="e">
        <f>EOMONTH(EinkommenMutterVon,-1)+1</f>
        <v>#NUM!</v>
      </c>
      <c r="B9" t="s">
        <v>15</v>
      </c>
      <c r="C9" s="6">
        <v>1</v>
      </c>
      <c r="D9" t="s">
        <v>18</v>
      </c>
      <c r="E9" t="s">
        <v>19</v>
      </c>
      <c r="F9" t="s">
        <v>19</v>
      </c>
      <c r="G9" t="s">
        <v>20</v>
      </c>
      <c r="H9" t="s">
        <v>22</v>
      </c>
      <c r="I9" t="s">
        <v>23</v>
      </c>
      <c r="J9" t="s">
        <v>24</v>
      </c>
      <c r="K9" t="s">
        <v>25</v>
      </c>
      <c r="L9" t="s">
        <v>26</v>
      </c>
      <c r="M9" t="s">
        <v>27</v>
      </c>
      <c r="N9" t="s">
        <v>28</v>
      </c>
      <c r="O9" t="s">
        <v>28</v>
      </c>
    </row>
    <row r="10" spans="1:15" x14ac:dyDescent="0.25">
      <c r="B10" t="s">
        <v>17</v>
      </c>
      <c r="C10" s="6">
        <v>2</v>
      </c>
      <c r="D10" t="e">
        <f>"Nettoeinkommen " &amp; TEXT(BeginnmonatMutter,"[$-de-DE]MMM JJJJ;@")</f>
        <v>#NUM!</v>
      </c>
      <c r="E10" s="8" t="e">
        <f>IF(EDATE(BeginnmonatMutter,1)&lt;=EinkommenMutterBis,"Nettoeinkommen " &amp; TEXT(EDATE(BeginnmonatMutter,1),"[$-de-DE]MMM JJJJ;@"),"")</f>
        <v>#NUM!</v>
      </c>
      <c r="F10" s="8" t="e">
        <f>IF(EDATE(BeginnmonatMutter,2)&lt;=EinkommenMutterBis,"Nettoeinkommen " &amp; TEXT(EDATE(BeginnmonatMutter,2),"[$-de-DE]MMM JJJJ;@"),"")</f>
        <v>#NUM!</v>
      </c>
      <c r="G10" s="8" t="e">
        <f>IF(EDATE(BeginnmonatMutter,3)&lt;=EinkommenMutterBis,"Nettoeinkommen " &amp; TEXT(EDATE(BeginnmonatMutter,3),"[$-de-DE]MMM JJJJ;@"),"")</f>
        <v>#NUM!</v>
      </c>
      <c r="H10" s="8" t="e">
        <f>IF(EDATE(BeginnmonatMutter,4)&lt;=EinkommenMutterBis,"Nettoeinkommen " &amp; TEXT(EDATE(BeginnmonatMutter,4),"[$-de-DE]MMM JJJJ;@"),"")</f>
        <v>#NUM!</v>
      </c>
      <c r="I10" s="8" t="e">
        <f>IF(EDATE(BeginnmonatMutter,5)&lt;=EinkommenMutterBis,"Nettoeinkommen " &amp; TEXT(EDATE(BeginnmonatMutter,5),"[$-de-DE]MMM JJJJ;@"),"")</f>
        <v>#NUM!</v>
      </c>
      <c r="J10" s="8" t="e">
        <f>IF(EDATE(BeginnmonatMutter,6)&lt;=EinkommenMutterBis,"Nettoeinkommen " &amp; TEXT(EDATE(BeginnmonatMutter,6),"[$-de-DE]MMM JJJJ;@"),"")</f>
        <v>#NUM!</v>
      </c>
      <c r="K10" s="8" t="e">
        <f>IF(EDATE(BeginnmonatMutter,7)&lt;=EinkommenMutterBis,"Nettoeinkommen " &amp; TEXT(EDATE(BeginnmonatMutter,7),"[$-de-DE]MMM JJJJ;@"),"")</f>
        <v>#NUM!</v>
      </c>
      <c r="L10" s="8" t="e">
        <f>IF(EDATE(BeginnmonatMutter,8)&lt;=EinkommenMutterBis,"Nettoeinkommen " &amp; TEXT(EDATE(BeginnmonatMutter,8),"[$-de-DE]MMM JJJJ;@"),"")</f>
        <v>#NUM!</v>
      </c>
      <c r="M10" s="8" t="e">
        <f>IF(EDATE(BeginnmonatMutter,9)&lt;=EinkommenMutterBis,"Nettoeinkommen " &amp; TEXT(EDATE(BeginnmonatMutter,9),"[$-de-DE]MMM JJJJ;@"),"")</f>
        <v>#NUM!</v>
      </c>
      <c r="N10" s="8" t="e">
        <f>IF(EDATE(BeginnmonatMutter,10)&lt;=EinkommenMutterBis,"Nettoeinkommen " &amp; TEXT(EDATE(BeginnmonatMutter,10),"[$-de-DE]MMM JJJJ;@"),"")</f>
        <v>#NUM!</v>
      </c>
      <c r="O10" s="8" t="e">
        <f>IF(EDATE(BeginnmonatMutter,11)&lt;=EinkommenMutterBis,"Nettoeinkommen " &amp; TEXT(EDATE(BeginnmonatMutter,11),"[$-de-DE]MMM JJJJ;@"),"")</f>
        <v>#NUM!</v>
      </c>
    </row>
    <row r="11" spans="1:15" x14ac:dyDescent="0.25">
      <c r="D11" s="8"/>
      <c r="E11" s="8"/>
      <c r="F11" s="8"/>
      <c r="G11" s="8"/>
      <c r="H11" s="8"/>
      <c r="I11" s="8"/>
      <c r="J11" s="8"/>
      <c r="K11" s="8"/>
      <c r="L11" s="8"/>
      <c r="M11" s="8"/>
      <c r="N11" s="8"/>
      <c r="O11" s="8"/>
    </row>
    <row r="12" spans="1:15" x14ac:dyDescent="0.25">
      <c r="A12" t="s">
        <v>32</v>
      </c>
      <c r="B12" t="s">
        <v>6</v>
      </c>
      <c r="C12" s="6">
        <v>0</v>
      </c>
      <c r="D12" t="s">
        <v>34</v>
      </c>
      <c r="E12" t="s">
        <v>34</v>
      </c>
      <c r="F12" t="s">
        <v>34</v>
      </c>
      <c r="G12" t="s">
        <v>34</v>
      </c>
      <c r="H12" t="s">
        <v>34</v>
      </c>
      <c r="I12" t="s">
        <v>34</v>
      </c>
      <c r="J12" t="s">
        <v>34</v>
      </c>
      <c r="K12" t="s">
        <v>34</v>
      </c>
      <c r="L12" t="s">
        <v>34</v>
      </c>
      <c r="M12" t="s">
        <v>34</v>
      </c>
      <c r="N12" t="s">
        <v>34</v>
      </c>
      <c r="O12" t="s">
        <v>34</v>
      </c>
    </row>
    <row r="13" spans="1:15" x14ac:dyDescent="0.25">
      <c r="B13" t="s">
        <v>15</v>
      </c>
      <c r="C13" s="6">
        <v>1</v>
      </c>
      <c r="D13" t="s">
        <v>34</v>
      </c>
      <c r="E13" t="s">
        <v>33</v>
      </c>
      <c r="F13" t="s">
        <v>33</v>
      </c>
      <c r="G13" t="s">
        <v>35</v>
      </c>
      <c r="H13" t="s">
        <v>35</v>
      </c>
      <c r="I13" t="s">
        <v>35</v>
      </c>
      <c r="J13" t="s">
        <v>35</v>
      </c>
      <c r="K13" t="s">
        <v>35</v>
      </c>
      <c r="L13" t="s">
        <v>35</v>
      </c>
      <c r="M13" t="s">
        <v>35</v>
      </c>
      <c r="N13" t="s">
        <v>35</v>
      </c>
      <c r="O13" t="s">
        <v>35</v>
      </c>
    </row>
    <row r="14" spans="1:15" x14ac:dyDescent="0.25">
      <c r="B14" t="s">
        <v>17</v>
      </c>
      <c r="C14" s="6">
        <v>2</v>
      </c>
      <c r="D14" t="s">
        <v>34</v>
      </c>
      <c r="E14" t="s">
        <v>33</v>
      </c>
      <c r="F14" t="s">
        <v>33</v>
      </c>
      <c r="G14" t="s">
        <v>33</v>
      </c>
      <c r="H14" t="s">
        <v>33</v>
      </c>
      <c r="I14" t="s">
        <v>33</v>
      </c>
      <c r="J14" t="s">
        <v>33</v>
      </c>
      <c r="K14" t="s">
        <v>33</v>
      </c>
      <c r="L14" t="s">
        <v>33</v>
      </c>
      <c r="M14" t="s">
        <v>33</v>
      </c>
      <c r="N14" t="s">
        <v>33</v>
      </c>
      <c r="O14" t="s">
        <v>33</v>
      </c>
    </row>
    <row r="16" spans="1:15" x14ac:dyDescent="0.25">
      <c r="A16" t="s">
        <v>21</v>
      </c>
      <c r="B16" t="s">
        <v>6</v>
      </c>
      <c r="C16" s="6">
        <v>0</v>
      </c>
      <c r="D16" t="str">
        <f>D8</f>
        <v>...</v>
      </c>
      <c r="E16" t="str">
        <f t="shared" ref="E16:O16" si="0">E8</f>
        <v>...</v>
      </c>
      <c r="F16" t="str">
        <f t="shared" si="0"/>
        <v>...</v>
      </c>
      <c r="G16" t="str">
        <f t="shared" si="0"/>
        <v>...</v>
      </c>
      <c r="H16" t="str">
        <f t="shared" si="0"/>
        <v>...</v>
      </c>
      <c r="I16" t="str">
        <f t="shared" si="0"/>
        <v>...</v>
      </c>
      <c r="J16" t="str">
        <f t="shared" si="0"/>
        <v>...</v>
      </c>
      <c r="K16" t="str">
        <f t="shared" si="0"/>
        <v>...</v>
      </c>
      <c r="L16" t="str">
        <f t="shared" si="0"/>
        <v>...</v>
      </c>
      <c r="M16" t="str">
        <f t="shared" si="0"/>
        <v>...</v>
      </c>
      <c r="N16" t="str">
        <f t="shared" si="0"/>
        <v>...</v>
      </c>
      <c r="O16" t="str">
        <f t="shared" si="0"/>
        <v>...</v>
      </c>
    </row>
    <row r="17" spans="1:15" x14ac:dyDescent="0.25">
      <c r="A17" s="8" t="e">
        <f>EOMONTH(EinkommenVaterVon,-1)+1</f>
        <v>#NUM!</v>
      </c>
      <c r="B17" t="s">
        <v>15</v>
      </c>
      <c r="C17" s="6">
        <v>1</v>
      </c>
      <c r="D17" t="str">
        <f>D9</f>
        <v>Bruttoeinkommen</v>
      </c>
      <c r="E17" t="str">
        <f t="shared" ref="E17:O17" si="1">E9</f>
        <v>Sonstiges Erwerbseinkommen</v>
      </c>
      <c r="F17" t="str">
        <f t="shared" si="1"/>
        <v>Sonstiges Erwerbseinkommen</v>
      </c>
      <c r="G17" t="str">
        <f t="shared" si="1"/>
        <v>Lohn-/Einkommensteuer</v>
      </c>
      <c r="H17" t="str">
        <f t="shared" si="1"/>
        <v>Solidaritätszuschlag</v>
      </c>
      <c r="I17" t="str">
        <f t="shared" si="1"/>
        <v>Kirchensteuer</v>
      </c>
      <c r="J17" t="str">
        <f t="shared" si="1"/>
        <v>Krankenversicherung</v>
      </c>
      <c r="K17" t="str">
        <f t="shared" si="1"/>
        <v>Pflegeversicherung</v>
      </c>
      <c r="L17" t="str">
        <f t="shared" si="1"/>
        <v>Rentenversicherung</v>
      </c>
      <c r="M17" t="str">
        <f t="shared" si="1"/>
        <v>Arbeitslosenversicherung</v>
      </c>
      <c r="N17" t="str">
        <f t="shared" si="1"/>
        <v>Sonstiger Abzug</v>
      </c>
      <c r="O17" t="str">
        <f t="shared" si="1"/>
        <v>Sonstiger Abzug</v>
      </c>
    </row>
    <row r="18" spans="1:15" x14ac:dyDescent="0.25">
      <c r="B18" t="s">
        <v>17</v>
      </c>
      <c r="C18" s="6">
        <v>2</v>
      </c>
      <c r="D18" t="e">
        <f>"Nettoeinkommen " &amp; TEXT(BeginnmonatVater,"[$-de-DE]MMM JJJJ;@")</f>
        <v>#NUM!</v>
      </c>
      <c r="E18" s="8" t="e">
        <f>IF(EDATE(BeginnmonatVater,1)&lt;=EinkommenVaterBis,"Nettoeinkommen " &amp; TEXT(EDATE(BeginnmonatVater,1),"[$-de-DE]MMM JJJJ;@"),"")</f>
        <v>#NUM!</v>
      </c>
      <c r="F18" s="8" t="e">
        <f>IF(EDATE(BeginnmonatVater,2)&lt;=EinkommenVaterBis,"Nettoeinkommen " &amp; TEXT(EDATE(BeginnmonatVater,2),"[$-de-DE]MMM JJJJ;@"),"")</f>
        <v>#NUM!</v>
      </c>
      <c r="G18" s="8" t="e">
        <f>IF(EDATE(BeginnmonatVater,3)&lt;=EinkommenVaterBis,"Nettoeinkommen " &amp; TEXT(EDATE(BeginnmonatVater,3),"[$-de-DE]MMM JJJJ;@"),"")</f>
        <v>#NUM!</v>
      </c>
      <c r="H18" s="8" t="e">
        <f>IF(EDATE(BeginnmonatVater,4)&lt;=EinkommenVaterBis,"Nettoeinkommen " &amp; TEXT(EDATE(BeginnmonatVater,4),"[$-de-DE]MMM JJJJ;@"),"")</f>
        <v>#NUM!</v>
      </c>
      <c r="I18" s="8" t="e">
        <f>IF(EDATE(BeginnmonatVater,5)&lt;=EinkommenVaterBis,"Nettoeinkommen " &amp; TEXT(EDATE(BeginnmonatVater,5),"[$-de-DE]MMM JJJJ;@"),"")</f>
        <v>#NUM!</v>
      </c>
      <c r="J18" s="8" t="e">
        <f>IF(EDATE(BeginnmonatVater,6)&lt;=EinkommenVaterBis,"Nettoeinkommen " &amp; TEXT(EDATE(BeginnmonatVater,6),"[$-de-DE]MMM JJJJ;@"),"")</f>
        <v>#NUM!</v>
      </c>
      <c r="K18" s="8" t="e">
        <f>IF(EDATE(BeginnmonatVater,7)&lt;=EinkommenVaterBis,"Nettoeinkommen " &amp; TEXT(EDATE(BeginnmonatVater,7),"[$-de-DE]MMM JJJJ;@"),"")</f>
        <v>#NUM!</v>
      </c>
      <c r="L18" s="8" t="e">
        <f>IF(EDATE(BeginnmonatVater,8)&lt;=EinkommenVaterBis,"Nettoeinkommen " &amp; TEXT(EDATE(BeginnmonatVater,8),"[$-de-DE]MMM JJJJ;@"),"")</f>
        <v>#NUM!</v>
      </c>
      <c r="M18" s="8" t="e">
        <f>IF(EDATE(BeginnmonatVater,8)&lt;=EinkommenVaterBis,"Nettoeinkommen " &amp; TEXT(EDATE(BeginnmonatVater,9),"[$-de-DE]MMM JJJJ;@"),"")</f>
        <v>#NUM!</v>
      </c>
      <c r="N18" s="8" t="e">
        <f>IF(EDATE(BeginnmonatVater,10)&lt;=EinkommenVaterBis,"Nettoeinkommen " &amp; TEXT(EDATE(BeginnmonatVater,10),"[$-de-DE]MMM JJJJ;@"),"")</f>
        <v>#NUM!</v>
      </c>
      <c r="O18" s="8" t="e">
        <f>IF(EDATE(BeginnmonatVater,11)&lt;=EinkommenVaterBis,"Nettoeinkommen " &amp; TEXT(EDATE(BeginnmonatVater,11),"[$-de-DE]MMM JJJJ;@"),"")</f>
        <v>#NUM!</v>
      </c>
    </row>
    <row r="19" spans="1:15" x14ac:dyDescent="0.25">
      <c r="D19" s="8"/>
      <c r="E19" s="8"/>
      <c r="F19" s="8"/>
      <c r="G19" s="8"/>
      <c r="H19" s="8"/>
      <c r="I19" s="8"/>
      <c r="J19" s="8"/>
      <c r="K19" s="8"/>
      <c r="L19" s="8"/>
      <c r="M19" s="8"/>
      <c r="N19" s="8"/>
      <c r="O19" s="8"/>
    </row>
    <row r="20" spans="1:15" x14ac:dyDescent="0.25">
      <c r="A20" t="s">
        <v>37</v>
      </c>
      <c r="B20" t="s">
        <v>6</v>
      </c>
      <c r="C20" s="6">
        <v>0</v>
      </c>
      <c r="D20" t="str">
        <f>D12</f>
        <v xml:space="preserve"> </v>
      </c>
      <c r="E20" t="str">
        <f t="shared" ref="E20:O20" si="2">E12</f>
        <v xml:space="preserve"> </v>
      </c>
      <c r="F20" t="str">
        <f t="shared" si="2"/>
        <v xml:space="preserve"> </v>
      </c>
      <c r="G20" t="str">
        <f t="shared" si="2"/>
        <v xml:space="preserve"> </v>
      </c>
      <c r="H20" t="str">
        <f t="shared" si="2"/>
        <v xml:space="preserve"> </v>
      </c>
      <c r="I20" t="str">
        <f t="shared" si="2"/>
        <v xml:space="preserve"> </v>
      </c>
      <c r="J20" t="str">
        <f t="shared" si="2"/>
        <v xml:space="preserve"> </v>
      </c>
      <c r="K20" t="str">
        <f t="shared" si="2"/>
        <v xml:space="preserve"> </v>
      </c>
      <c r="L20" t="str">
        <f t="shared" si="2"/>
        <v xml:space="preserve"> </v>
      </c>
      <c r="M20" t="str">
        <f t="shared" si="2"/>
        <v xml:space="preserve"> </v>
      </c>
      <c r="N20" t="str">
        <f t="shared" si="2"/>
        <v xml:space="preserve"> </v>
      </c>
      <c r="O20" t="str">
        <f t="shared" si="2"/>
        <v xml:space="preserve"> </v>
      </c>
    </row>
    <row r="21" spans="1:15" x14ac:dyDescent="0.25">
      <c r="B21" t="s">
        <v>15</v>
      </c>
      <c r="C21" s="6">
        <v>1</v>
      </c>
      <c r="D21" t="str">
        <f t="shared" ref="D21:O22" si="3">D13</f>
        <v xml:space="preserve"> </v>
      </c>
      <c r="E21" t="str">
        <f t="shared" si="3"/>
        <v>+</v>
      </c>
      <c r="F21" t="str">
        <f t="shared" si="3"/>
        <v>+</v>
      </c>
      <c r="G21" t="str">
        <f t="shared" si="3"/>
        <v>./.</v>
      </c>
      <c r="H21" t="str">
        <f t="shared" si="3"/>
        <v>./.</v>
      </c>
      <c r="I21" t="str">
        <f t="shared" si="3"/>
        <v>./.</v>
      </c>
      <c r="J21" t="str">
        <f t="shared" si="3"/>
        <v>./.</v>
      </c>
      <c r="K21" t="str">
        <f t="shared" si="3"/>
        <v>./.</v>
      </c>
      <c r="L21" t="str">
        <f t="shared" si="3"/>
        <v>./.</v>
      </c>
      <c r="M21" t="str">
        <f t="shared" si="3"/>
        <v>./.</v>
      </c>
      <c r="N21" t="str">
        <f t="shared" si="3"/>
        <v>./.</v>
      </c>
      <c r="O21" t="str">
        <f t="shared" si="3"/>
        <v>./.</v>
      </c>
    </row>
    <row r="22" spans="1:15" x14ac:dyDescent="0.25">
      <c r="B22" t="s">
        <v>17</v>
      </c>
      <c r="C22" s="6">
        <v>2</v>
      </c>
      <c r="D22" t="str">
        <f t="shared" si="3"/>
        <v xml:space="preserve"> </v>
      </c>
      <c r="E22" t="str">
        <f t="shared" si="3"/>
        <v>+</v>
      </c>
      <c r="F22" t="str">
        <f t="shared" si="3"/>
        <v>+</v>
      </c>
      <c r="G22" t="str">
        <f t="shared" si="3"/>
        <v>+</v>
      </c>
      <c r="H22" t="str">
        <f t="shared" si="3"/>
        <v>+</v>
      </c>
      <c r="I22" t="str">
        <f t="shared" si="3"/>
        <v>+</v>
      </c>
      <c r="J22" t="str">
        <f t="shared" si="3"/>
        <v>+</v>
      </c>
      <c r="K22" t="str">
        <f t="shared" si="3"/>
        <v>+</v>
      </c>
      <c r="L22" t="str">
        <f t="shared" si="3"/>
        <v>+</v>
      </c>
      <c r="M22" t="str">
        <f t="shared" si="3"/>
        <v>+</v>
      </c>
      <c r="N22" t="str">
        <f t="shared" si="3"/>
        <v>+</v>
      </c>
      <c r="O22" t="str">
        <f t="shared" si="3"/>
        <v>+</v>
      </c>
    </row>
    <row r="25" spans="1:15" x14ac:dyDescent="0.25">
      <c r="A25" t="s">
        <v>166</v>
      </c>
      <c r="B25" t="s">
        <v>6</v>
      </c>
      <c r="C25" s="6">
        <v>0</v>
      </c>
    </row>
    <row r="26" spans="1:15" x14ac:dyDescent="0.25">
      <c r="B26" t="s">
        <v>169</v>
      </c>
      <c r="C26" s="6">
        <v>1</v>
      </c>
    </row>
    <row r="27" spans="1:15" x14ac:dyDescent="0.25">
      <c r="B27" t="s">
        <v>167</v>
      </c>
      <c r="C27" s="6">
        <v>2</v>
      </c>
    </row>
    <row r="29" spans="1:15" x14ac:dyDescent="0.25">
      <c r="A29" t="s">
        <v>168</v>
      </c>
      <c r="B29" t="s">
        <v>6</v>
      </c>
      <c r="C29" s="6">
        <v>0</v>
      </c>
    </row>
    <row r="30" spans="1:15" x14ac:dyDescent="0.25">
      <c r="B30" t="s">
        <v>169</v>
      </c>
      <c r="C30" s="6">
        <v>1</v>
      </c>
    </row>
    <row r="31" spans="1:15" x14ac:dyDescent="0.25">
      <c r="B31" t="s">
        <v>167</v>
      </c>
      <c r="C31" s="6">
        <v>2</v>
      </c>
    </row>
    <row r="33" spans="1:3" x14ac:dyDescent="0.25">
      <c r="A33" t="s">
        <v>214</v>
      </c>
      <c r="C33" s="6">
        <f>IF(VLOOKUP(EinkommensbetragsfeldMutter,Auswahlwerte!B8:C10,2,0)=1,SUM(Berechnung!I18:I20)-SUM(Berechnung!I21:I29),IF(VLOOKUP(EinkommensbetragsfeldMutter,Auswahlwerte!B8:C10,2,0)=2,SUM(Berechnung!I18:I29),0))</f>
        <v>0</v>
      </c>
    </row>
    <row r="34" spans="1:3" x14ac:dyDescent="0.25">
      <c r="A34" t="s">
        <v>215</v>
      </c>
      <c r="C34" s="6">
        <f>IF(VLOOKUP(EinkommensbetragsfeldVater,Auswahlwerte!B16:C18,2,0)=1,SUM(Berechnung!N18:N20)-SUM(Berechnung!N21:N29),IF(VLOOKUP(EinkommensbetragsfeldVater,Auswahlwerte!B16:C18,2,0)=2,SUM(Berechnung!N18:N29),0))</f>
        <v>0</v>
      </c>
    </row>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3"/>
  <sheetViews>
    <sheetView workbookViewId="0">
      <selection activeCell="C4" sqref="C4"/>
    </sheetView>
  </sheetViews>
  <sheetFormatPr baseColWidth="10" defaultColWidth="11.44140625" defaultRowHeight="15.9" customHeight="1" x14ac:dyDescent="0.25"/>
  <cols>
    <col min="1" max="1" width="33.88671875" style="53" bestFit="1" customWidth="1"/>
    <col min="2" max="2" width="11.44140625" style="55"/>
    <col min="3" max="3" width="11.44140625" style="56"/>
    <col min="4" max="4" width="37.6640625" style="53" bestFit="1" customWidth="1"/>
    <col min="5" max="5" width="8.33203125" style="53" bestFit="1" customWidth="1"/>
    <col min="6" max="6" width="8" style="53" bestFit="1" customWidth="1"/>
    <col min="7" max="7" width="11.44140625" style="54"/>
    <col min="8" max="8" width="11.44140625" style="53"/>
    <col min="9" max="9" width="13.5546875" style="54" bestFit="1" customWidth="1"/>
    <col min="10" max="16384" width="11.44140625" style="53"/>
  </cols>
  <sheetData>
    <row r="1" spans="1:7" ht="15.9" customHeight="1" x14ac:dyDescent="0.25">
      <c r="A1" s="50" t="s">
        <v>93</v>
      </c>
      <c r="B1" s="51"/>
      <c r="C1" s="52" t="s">
        <v>94</v>
      </c>
    </row>
    <row r="3" spans="1:7" ht="15.9" customHeight="1" x14ac:dyDescent="0.25">
      <c r="A3" s="53" t="s">
        <v>95</v>
      </c>
      <c r="C3" s="75">
        <v>5.2</v>
      </c>
      <c r="E3" s="53" t="s">
        <v>96</v>
      </c>
    </row>
    <row r="4" spans="1:7" ht="15.9" customHeight="1" x14ac:dyDescent="0.25">
      <c r="A4" s="53" t="s">
        <v>210</v>
      </c>
      <c r="C4" s="56">
        <f>40*kmPauschale</f>
        <v>208</v>
      </c>
      <c r="E4" s="57" t="s">
        <v>97</v>
      </c>
      <c r="F4" s="57"/>
      <c r="G4" s="58"/>
    </row>
    <row r="5" spans="1:7" ht="15.9" customHeight="1" x14ac:dyDescent="0.25">
      <c r="A5" s="53" t="s">
        <v>98</v>
      </c>
      <c r="C5" s="75">
        <v>5.2</v>
      </c>
      <c r="E5" s="59" t="s">
        <v>99</v>
      </c>
      <c r="F5" s="59"/>
      <c r="G5" s="59"/>
    </row>
    <row r="6" spans="1:7" ht="15.9" customHeight="1" x14ac:dyDescent="0.25">
      <c r="A6" s="53" t="s">
        <v>100</v>
      </c>
      <c r="C6" s="75">
        <v>130</v>
      </c>
    </row>
    <row r="8" spans="1:7" ht="15.9" customHeight="1" x14ac:dyDescent="0.25">
      <c r="A8" s="53" t="s">
        <v>101</v>
      </c>
      <c r="C8" s="76">
        <v>4</v>
      </c>
      <c r="D8" s="53" t="s">
        <v>102</v>
      </c>
    </row>
    <row r="9" spans="1:7" ht="15.9" customHeight="1" x14ac:dyDescent="0.25">
      <c r="A9" s="53" t="s">
        <v>103</v>
      </c>
      <c r="C9" s="76">
        <v>3</v>
      </c>
      <c r="D9" s="53" t="s">
        <v>102</v>
      </c>
    </row>
    <row r="11" spans="1:7" ht="15.9" customHeight="1" x14ac:dyDescent="0.25">
      <c r="A11" s="53" t="s">
        <v>104</v>
      </c>
      <c r="C11" s="60">
        <f>D18*2</f>
        <v>0</v>
      </c>
      <c r="D11" s="53" t="s">
        <v>105</v>
      </c>
    </row>
    <row r="13" spans="1:7" ht="15.9" customHeight="1" x14ac:dyDescent="0.25">
      <c r="A13" s="53" t="s">
        <v>106</v>
      </c>
      <c r="C13" s="60">
        <f>ROUNDUP(70%*D18,0)</f>
        <v>0</v>
      </c>
      <c r="D13" s="53" t="s">
        <v>107</v>
      </c>
    </row>
    <row r="15" spans="1:7" ht="15.9" customHeight="1" x14ac:dyDescent="0.25">
      <c r="A15" s="53" t="s">
        <v>108</v>
      </c>
      <c r="C15" s="76">
        <v>50</v>
      </c>
      <c r="D15" s="53" t="s">
        <v>102</v>
      </c>
    </row>
    <row r="17" spans="1:9" ht="15.9" customHeight="1" x14ac:dyDescent="0.25">
      <c r="B17" s="61" t="s">
        <v>13</v>
      </c>
      <c r="C17" s="56" t="s">
        <v>14</v>
      </c>
      <c r="E17" s="62"/>
      <c r="F17" s="62"/>
      <c r="I17" s="63" t="s">
        <v>109</v>
      </c>
    </row>
    <row r="18" spans="1:9" ht="15.9" customHeight="1" x14ac:dyDescent="0.25">
      <c r="A18" s="53" t="s">
        <v>110</v>
      </c>
      <c r="B18" s="64">
        <f>Leistungsbeginn</f>
        <v>0</v>
      </c>
      <c r="C18" s="64">
        <f>Leistungsende</f>
        <v>0</v>
      </c>
      <c r="D18" s="78">
        <f>IF(ISERROR(VLOOKUP("X",G20:H33,2,FALSE)),0,VLOOKUP("X",G20:H33,2,FALSE))</f>
        <v>0</v>
      </c>
      <c r="E18" s="64"/>
      <c r="I18" s="79">
        <f>IF(SUM(I21:I33)=0,MAX(C21:C33),MAX(I21:I33))</f>
        <v>73050</v>
      </c>
    </row>
    <row r="20" spans="1:9" ht="15.9" customHeight="1" x14ac:dyDescent="0.25">
      <c r="A20" s="65" t="s">
        <v>111</v>
      </c>
      <c r="B20" s="66" t="s">
        <v>13</v>
      </c>
      <c r="C20" s="67" t="s">
        <v>14</v>
      </c>
      <c r="D20" s="68" t="s">
        <v>94</v>
      </c>
      <c r="E20" s="69" t="s">
        <v>112</v>
      </c>
      <c r="F20" s="69" t="s">
        <v>113</v>
      </c>
      <c r="G20" s="54" t="s">
        <v>114</v>
      </c>
      <c r="H20" s="70" t="s">
        <v>94</v>
      </c>
      <c r="I20" s="70" t="s">
        <v>115</v>
      </c>
    </row>
    <row r="21" spans="1:9" ht="15.9" customHeight="1" x14ac:dyDescent="0.25">
      <c r="A21" s="71" t="s">
        <v>116</v>
      </c>
      <c r="B21" s="49">
        <v>39995</v>
      </c>
      <c r="C21" s="49" t="s">
        <v>117</v>
      </c>
      <c r="D21" s="77">
        <v>359</v>
      </c>
      <c r="E21" s="72">
        <f t="shared" ref="E21:F33" si="0">IF(B21&lt;&gt;"",DATE(YEAR(B21),MONTH(B21),DAY(B21)),99999)</f>
        <v>39995</v>
      </c>
      <c r="F21" s="72">
        <f t="shared" si="0"/>
        <v>40543</v>
      </c>
      <c r="G21" s="54" t="str">
        <f t="shared" ref="G21:G33" si="1">IF(AND(DATE(YEAR($B$18),MONTH($B$18),DAY($B$18))&gt;=DATE(YEAR(B21),MONTH(B21),DAY(B21)),DATE(YEAR($B$18),MONTH($B$18),DAY($B$18)) &lt;=DATE(YEAR(C21),MONTH(C21),DAY(C21)))=TRUE,"X","")</f>
        <v/>
      </c>
      <c r="H21" s="73">
        <f t="shared" ref="H21:H33" si="2">D21</f>
        <v>359</v>
      </c>
      <c r="I21" s="64" t="str">
        <f t="shared" ref="I21:I33" si="3">IF(G21="X",DATE(YEAR(C21),MONTH(C21),DAY(C21)),"")</f>
        <v/>
      </c>
    </row>
    <row r="22" spans="1:9" ht="15.9" customHeight="1" x14ac:dyDescent="0.25">
      <c r="A22" s="71" t="s">
        <v>118</v>
      </c>
      <c r="B22" s="49" t="s">
        <v>119</v>
      </c>
      <c r="C22" s="49">
        <v>40908</v>
      </c>
      <c r="D22" s="77">
        <v>364</v>
      </c>
      <c r="E22" s="72">
        <f t="shared" si="0"/>
        <v>40544</v>
      </c>
      <c r="F22" s="72">
        <f t="shared" si="0"/>
        <v>40908</v>
      </c>
      <c r="G22" s="54" t="str">
        <f t="shared" si="1"/>
        <v/>
      </c>
      <c r="H22" s="73">
        <f t="shared" si="2"/>
        <v>364</v>
      </c>
      <c r="I22" s="64" t="str">
        <f t="shared" si="3"/>
        <v/>
      </c>
    </row>
    <row r="23" spans="1:9" ht="15.9" customHeight="1" x14ac:dyDescent="0.25">
      <c r="A23" s="71" t="s">
        <v>120</v>
      </c>
      <c r="B23" s="49">
        <v>40909</v>
      </c>
      <c r="C23" s="49">
        <v>41274</v>
      </c>
      <c r="D23" s="77">
        <v>374</v>
      </c>
      <c r="E23" s="72">
        <f t="shared" si="0"/>
        <v>40909</v>
      </c>
      <c r="F23" s="72">
        <f t="shared" si="0"/>
        <v>41274</v>
      </c>
      <c r="G23" s="54" t="str">
        <f t="shared" si="1"/>
        <v/>
      </c>
      <c r="H23" s="73">
        <f t="shared" si="2"/>
        <v>374</v>
      </c>
      <c r="I23" s="64" t="str">
        <f t="shared" si="3"/>
        <v/>
      </c>
    </row>
    <row r="24" spans="1:9" ht="15.9" customHeight="1" x14ac:dyDescent="0.25">
      <c r="A24" s="71" t="s">
        <v>121</v>
      </c>
      <c r="B24" s="49">
        <v>41275</v>
      </c>
      <c r="C24" s="49">
        <v>41639</v>
      </c>
      <c r="D24" s="77">
        <v>382</v>
      </c>
      <c r="E24" s="72">
        <f t="shared" si="0"/>
        <v>41275</v>
      </c>
      <c r="F24" s="72">
        <f t="shared" si="0"/>
        <v>41639</v>
      </c>
      <c r="G24" s="54" t="str">
        <f t="shared" si="1"/>
        <v/>
      </c>
      <c r="H24" s="73">
        <f t="shared" si="2"/>
        <v>382</v>
      </c>
      <c r="I24" s="64" t="str">
        <f t="shared" si="3"/>
        <v/>
      </c>
    </row>
    <row r="25" spans="1:9" ht="15.9" customHeight="1" x14ac:dyDescent="0.25">
      <c r="A25" s="71" t="s">
        <v>122</v>
      </c>
      <c r="B25" s="49">
        <v>41640</v>
      </c>
      <c r="C25" s="49">
        <v>42004</v>
      </c>
      <c r="D25" s="77">
        <v>391</v>
      </c>
      <c r="E25" s="72">
        <f t="shared" si="0"/>
        <v>41640</v>
      </c>
      <c r="F25" s="72">
        <f t="shared" si="0"/>
        <v>42004</v>
      </c>
      <c r="G25" s="54" t="str">
        <f t="shared" si="1"/>
        <v/>
      </c>
      <c r="H25" s="73">
        <f t="shared" si="2"/>
        <v>391</v>
      </c>
      <c r="I25" s="64" t="str">
        <f t="shared" si="3"/>
        <v/>
      </c>
    </row>
    <row r="26" spans="1:9" ht="15.9" customHeight="1" x14ac:dyDescent="0.25">
      <c r="A26" s="71" t="s">
        <v>123</v>
      </c>
      <c r="B26" s="49">
        <v>42005</v>
      </c>
      <c r="C26" s="49">
        <v>42369</v>
      </c>
      <c r="D26" s="77">
        <v>399</v>
      </c>
      <c r="E26" s="72">
        <f t="shared" si="0"/>
        <v>42005</v>
      </c>
      <c r="F26" s="72">
        <f t="shared" si="0"/>
        <v>42369</v>
      </c>
      <c r="G26" s="54" t="str">
        <f t="shared" si="1"/>
        <v/>
      </c>
      <c r="H26" s="73">
        <f t="shared" si="2"/>
        <v>399</v>
      </c>
      <c r="I26" s="64" t="str">
        <f t="shared" si="3"/>
        <v/>
      </c>
    </row>
    <row r="27" spans="1:9" ht="15.9" customHeight="1" x14ac:dyDescent="0.25">
      <c r="A27" s="71" t="s">
        <v>124</v>
      </c>
      <c r="B27" s="49">
        <v>42370</v>
      </c>
      <c r="C27" s="49">
        <v>42735</v>
      </c>
      <c r="D27" s="77">
        <v>404</v>
      </c>
      <c r="E27" s="72">
        <f t="shared" si="0"/>
        <v>42370</v>
      </c>
      <c r="F27" s="72">
        <f t="shared" si="0"/>
        <v>42735</v>
      </c>
      <c r="G27" s="54" t="str">
        <f t="shared" si="1"/>
        <v/>
      </c>
      <c r="H27" s="73">
        <f t="shared" si="2"/>
        <v>404</v>
      </c>
      <c r="I27" s="64" t="str">
        <f t="shared" si="3"/>
        <v/>
      </c>
    </row>
    <row r="28" spans="1:9" ht="15.9" customHeight="1" x14ac:dyDescent="0.25">
      <c r="A28" s="71" t="s">
        <v>125</v>
      </c>
      <c r="B28" s="49">
        <v>42736</v>
      </c>
      <c r="C28" s="49">
        <v>43100</v>
      </c>
      <c r="D28" s="77">
        <v>409</v>
      </c>
      <c r="E28" s="72">
        <f t="shared" si="0"/>
        <v>42736</v>
      </c>
      <c r="F28" s="72">
        <f t="shared" si="0"/>
        <v>43100</v>
      </c>
      <c r="G28" s="54" t="str">
        <f t="shared" si="1"/>
        <v/>
      </c>
      <c r="H28" s="73">
        <f t="shared" si="2"/>
        <v>409</v>
      </c>
      <c r="I28" s="74" t="str">
        <f t="shared" si="3"/>
        <v/>
      </c>
    </row>
    <row r="29" spans="1:9" ht="15.9" customHeight="1" x14ac:dyDescent="0.25">
      <c r="A29" s="71" t="s">
        <v>126</v>
      </c>
      <c r="B29" s="49">
        <v>43101</v>
      </c>
      <c r="C29" s="49">
        <v>43465</v>
      </c>
      <c r="D29" s="77">
        <v>416</v>
      </c>
      <c r="E29" s="72">
        <f t="shared" si="0"/>
        <v>43101</v>
      </c>
      <c r="F29" s="72">
        <f t="shared" si="0"/>
        <v>43465</v>
      </c>
      <c r="G29" s="54" t="str">
        <f t="shared" si="1"/>
        <v/>
      </c>
      <c r="H29" s="73">
        <f t="shared" si="2"/>
        <v>416</v>
      </c>
      <c r="I29" s="74" t="str">
        <f t="shared" si="3"/>
        <v/>
      </c>
    </row>
    <row r="30" spans="1:9" ht="15.9" customHeight="1" x14ac:dyDescent="0.25">
      <c r="A30" s="71" t="s">
        <v>127</v>
      </c>
      <c r="B30" s="49">
        <v>43466</v>
      </c>
      <c r="C30" s="49">
        <v>43830</v>
      </c>
      <c r="D30" s="77">
        <v>424</v>
      </c>
      <c r="E30" s="72">
        <f t="shared" si="0"/>
        <v>43466</v>
      </c>
      <c r="F30" s="72">
        <f t="shared" si="0"/>
        <v>43830</v>
      </c>
      <c r="G30" s="54" t="str">
        <f t="shared" si="1"/>
        <v/>
      </c>
      <c r="H30" s="73">
        <f t="shared" si="2"/>
        <v>424</v>
      </c>
      <c r="I30" s="74" t="str">
        <f t="shared" si="3"/>
        <v/>
      </c>
    </row>
    <row r="31" spans="1:9" ht="15.9" customHeight="1" x14ac:dyDescent="0.25">
      <c r="A31" s="71" t="s">
        <v>128</v>
      </c>
      <c r="B31" s="49">
        <v>43831</v>
      </c>
      <c r="C31" s="49">
        <v>44196</v>
      </c>
      <c r="D31" s="77">
        <v>432</v>
      </c>
      <c r="E31" s="72">
        <f t="shared" si="0"/>
        <v>43831</v>
      </c>
      <c r="F31" s="72">
        <f t="shared" si="0"/>
        <v>44196</v>
      </c>
      <c r="G31" s="54" t="str">
        <f t="shared" si="1"/>
        <v/>
      </c>
      <c r="H31" s="73">
        <f t="shared" si="2"/>
        <v>432</v>
      </c>
      <c r="I31" s="74" t="str">
        <f t="shared" si="3"/>
        <v/>
      </c>
    </row>
    <row r="32" spans="1:9" ht="15.9" customHeight="1" x14ac:dyDescent="0.25">
      <c r="A32" s="71" t="s">
        <v>129</v>
      </c>
      <c r="B32" s="49">
        <v>44197</v>
      </c>
      <c r="C32" s="49">
        <v>44561</v>
      </c>
      <c r="D32" s="77">
        <v>446</v>
      </c>
      <c r="E32" s="72">
        <f t="shared" si="0"/>
        <v>44197</v>
      </c>
      <c r="F32" s="72">
        <f t="shared" si="0"/>
        <v>44561</v>
      </c>
      <c r="G32" s="54" t="str">
        <f t="shared" si="1"/>
        <v/>
      </c>
      <c r="H32" s="73">
        <f t="shared" si="2"/>
        <v>446</v>
      </c>
      <c r="I32" s="74" t="str">
        <f t="shared" si="3"/>
        <v/>
      </c>
    </row>
    <row r="33" spans="1:9" ht="15.9" customHeight="1" x14ac:dyDescent="0.25">
      <c r="A33" s="71" t="s">
        <v>130</v>
      </c>
      <c r="B33" s="49">
        <v>44562</v>
      </c>
      <c r="C33" s="49">
        <v>73050</v>
      </c>
      <c r="D33" s="77">
        <v>449</v>
      </c>
      <c r="E33" s="72">
        <f t="shared" si="0"/>
        <v>44562</v>
      </c>
      <c r="F33" s="72">
        <f t="shared" si="0"/>
        <v>73050</v>
      </c>
      <c r="G33" s="54" t="str">
        <f t="shared" si="1"/>
        <v/>
      </c>
      <c r="H33" s="73">
        <f t="shared" si="2"/>
        <v>449</v>
      </c>
      <c r="I33" s="74" t="str">
        <f t="shared" si="3"/>
        <v/>
      </c>
    </row>
  </sheetData>
  <pageMargins left="0.78740157499999996" right="0.78740157499999996" top="0.984251969" bottom="0.984251969" header="0.4921259845" footer="0.492125984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23</vt:i4>
      </vt:variant>
    </vt:vector>
  </HeadingPairs>
  <TitlesOfParts>
    <vt:vector size="27" baseType="lpstr">
      <vt:lpstr>Berechnung</vt:lpstr>
      <vt:lpstr>Beiblatt Selbständige</vt:lpstr>
      <vt:lpstr>Auswahlwerte</vt:lpstr>
      <vt:lpstr>Parameter</vt:lpstr>
      <vt:lpstr>Arbeitsmittelpauschale</vt:lpstr>
      <vt:lpstr>BeginnmonatMutter</vt:lpstr>
      <vt:lpstr>BeginnmonatVater</vt:lpstr>
      <vt:lpstr>BereinigtesEinkommenGesamt</vt:lpstr>
      <vt:lpstr>'Beiblatt Selbständige'!Druckbereich</vt:lpstr>
      <vt:lpstr>Berechnung!Druckbereich</vt:lpstr>
      <vt:lpstr>EinkommenMutterBis</vt:lpstr>
      <vt:lpstr>EinkommenMutterVon</vt:lpstr>
      <vt:lpstr>EinkommensbetragsfeldMutter</vt:lpstr>
      <vt:lpstr>EinkommensbetragsfeldVater</vt:lpstr>
      <vt:lpstr>Einkommensgrenze</vt:lpstr>
      <vt:lpstr>EinkommenVaterBis</vt:lpstr>
      <vt:lpstr>EinkommenVaterVon</vt:lpstr>
      <vt:lpstr>EinkSelbständigkeitMutter</vt:lpstr>
      <vt:lpstr>EinkSelbständigkeitVater</vt:lpstr>
      <vt:lpstr>Familienzuschlag</vt:lpstr>
      <vt:lpstr>GrundbetragAntragsteller</vt:lpstr>
      <vt:lpstr>kmPauschale</vt:lpstr>
      <vt:lpstr>Leistungsbeginn</vt:lpstr>
      <vt:lpstr>Leistungsende</vt:lpstr>
      <vt:lpstr>MaxbetragDoppelterHH</vt:lpstr>
      <vt:lpstr>MaxPKW</vt:lpstr>
      <vt:lpstr>RBS</vt:lpstr>
    </vt:vector>
  </TitlesOfParts>
  <Company>Landratsamt Main-Taunus-Kreis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Weidner, Uwe</dc:creator>
  <cp:lastModifiedBy>Uwe Weidner</cp:lastModifiedBy>
  <cp:lastPrinted>2022-05-13T07:41:15Z</cp:lastPrinted>
  <dcterms:created xsi:type="dcterms:W3CDTF">2022-04-21T11:09:22Z</dcterms:created>
  <dcterms:modified xsi:type="dcterms:W3CDTF">2022-05-13T08:29:13Z</dcterms:modified>
</cp:coreProperties>
</file>