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DieseArbeitsmappe" defaultThemeVersion="166925"/>
  <mc:AlternateContent xmlns:mc="http://schemas.openxmlformats.org/markup-compatibility/2006">
    <mc:Choice Requires="x15">
      <x15ac:absPath xmlns:x15ac="http://schemas.microsoft.com/office/spreadsheetml/2010/11/ac" url="https://d.docs.live.net/58af4e7e9cc90500/Dokumente/Meine Websites/kostenbeitrag.de/images/Berechnungsvorlagen/"/>
    </mc:Choice>
  </mc:AlternateContent>
  <xr:revisionPtr revIDLastSave="115" documentId="8_{A154E834-AD98-45E1-93A1-8FA4B931D033}" xr6:coauthVersionLast="47" xr6:coauthVersionMax="47" xr10:uidLastSave="{070E4ADD-3B7D-4514-813E-6C3679DB752E}"/>
  <bookViews>
    <workbookView xWindow="-108" yWindow="-108" windowWidth="23256" windowHeight="12456" xr2:uid="{00000000-000D-0000-FFFF-FFFF00000000}"/>
  </bookViews>
  <sheets>
    <sheet name="Berechnung" sheetId="1" r:id="rId1"/>
    <sheet name="Auswahlwerte" sheetId="2" state="hidden" r:id="rId2"/>
    <sheet name="Parameter" sheetId="3" r:id="rId3"/>
  </sheets>
  <definedNames>
    <definedName name="Aktenzeichen">Berechnung!$A$5</definedName>
    <definedName name="AnzWeitereUHBerechtigte">Berechnung!$G$99</definedName>
    <definedName name="Arbeitstage_Jahr">Berechnung!$B$73</definedName>
    <definedName name="AuswahlBeitragsstufe">Berechnung!$B$95</definedName>
    <definedName name="AuswahlBetragsartEinkommenNST">Auswahlwerte!$E$3</definedName>
    <definedName name="AuswahlEinkommensjahr">Auswahlwerte!$B$3</definedName>
    <definedName name="Beitragsstufe">Auswahlwerte!$B$25</definedName>
    <definedName name="Berechnungsbeginn">Berechnung!$E$5</definedName>
    <definedName name="Berechnungsdatum">Berechnung!$C$5</definedName>
    <definedName name="Berechnungsende">Berechnung!$G$5</definedName>
    <definedName name="BetragsartEinkommenNST">Berechnung!$E$16</definedName>
    <definedName name="biskm1">Parameter!$C$3</definedName>
    <definedName name="biskm2">Parameter!$C$4</definedName>
    <definedName name="_xlnm.Print_Area" localSheetId="0">Berechnung!$A$2:$G$153</definedName>
    <definedName name="EinkommenBis">Berechnung!$E$11</definedName>
    <definedName name="Einkommensmonate">Berechnung!$G$11</definedName>
    <definedName name="Einkommenszeitraum">Berechnung!$A$11</definedName>
    <definedName name="EinkommenVon">Berechnung!$C$11</definedName>
    <definedName name="Fahrtstrecke">Berechnung!$B$71</definedName>
    <definedName name="GeburtsdatumJM">Berechnung!$C$8</definedName>
    <definedName name="JungerMensch">Berechnung!$A$8</definedName>
    <definedName name="kmPauschale">Parameter!$B$3</definedName>
    <definedName name="kmPauschale2">Parameter!$B$4</definedName>
    <definedName name="kmPauschale2JahrBis">Parameter!$E$4</definedName>
    <definedName name="kmPauschale2JahrVon">Parameter!$D$4</definedName>
    <definedName name="kmPauschale3">Parameter!$B$5</definedName>
    <definedName name="kmPauschale3JahrBis">Parameter!$E$5</definedName>
    <definedName name="kmPauschale3JahrVon">Parameter!$D$5</definedName>
    <definedName name="Kostenbeitragspflichtiger">Berechnung!$E$8</definedName>
    <definedName name="MaßgeblEinkGruppe">Parameter!$B$44</definedName>
    <definedName name="MaßgeblEinkommen">Berechnung!$G$91</definedName>
    <definedName name="ReduzierungWochengruppe">Parameter!#REF!</definedName>
    <definedName name="Standardanzahl_Arbeitstage">Parameter!$B$6</definedName>
    <definedName name="VorlEinkGruppeBez">Parameter!$C$39</definedName>
    <definedName name="VorlEinkommensgruppe">Parameter!$B$39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7" i="1" l="1"/>
  <c r="J71" i="1" l="1"/>
  <c r="I5" i="1" l="1"/>
  <c r="I8" i="1"/>
  <c r="C33" i="2" l="1"/>
  <c r="B33" i="2"/>
  <c r="E111" i="1" l="1"/>
  <c r="I111" i="1"/>
  <c r="I99" i="1" l="1"/>
  <c r="A102" i="1" l="1"/>
  <c r="B153" i="1" l="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27" i="1"/>
  <c r="B126" i="1"/>
  <c r="J75" i="1" l="1"/>
  <c r="B41" i="3" l="1"/>
  <c r="B25" i="2"/>
  <c r="I95" i="1" l="1"/>
  <c r="E125" i="1"/>
  <c r="E95" i="1"/>
  <c r="B45" i="3"/>
  <c r="B73" i="1"/>
  <c r="E3" i="2" l="1"/>
  <c r="I16" i="1" l="1"/>
  <c r="J26" i="1"/>
  <c r="J18" i="1"/>
  <c r="J38" i="1"/>
  <c r="J36" i="1"/>
  <c r="J34" i="1"/>
  <c r="J32" i="1"/>
  <c r="J28" i="1"/>
  <c r="J40" i="1"/>
  <c r="J24" i="1"/>
  <c r="J30" i="1"/>
  <c r="A16" i="1"/>
  <c r="B6" i="2"/>
  <c r="B5" i="2"/>
  <c r="B3" i="2" s="1"/>
  <c r="C11" i="1" l="1"/>
  <c r="E11" i="1"/>
  <c r="A65" i="1"/>
  <c r="E42" i="1"/>
  <c r="D28" i="1"/>
  <c r="D30" i="1"/>
  <c r="D40" i="1"/>
  <c r="D38" i="1"/>
  <c r="D34" i="1"/>
  <c r="D36" i="1"/>
  <c r="D32" i="1"/>
  <c r="I42" i="1" l="1"/>
  <c r="A67" i="1"/>
  <c r="A44" i="1"/>
  <c r="G11" i="1"/>
  <c r="E75" i="1" s="1"/>
  <c r="E22" i="2"/>
  <c r="A40" i="1" s="1"/>
  <c r="E13" i="2"/>
  <c r="A22" i="1" s="1"/>
  <c r="E15" i="2"/>
  <c r="A26" i="1" s="1"/>
  <c r="E21" i="2"/>
  <c r="A38" i="1" s="1"/>
  <c r="E16" i="2"/>
  <c r="A28" i="1" s="1"/>
  <c r="E18" i="2"/>
  <c r="A32" i="1" s="1"/>
  <c r="E12" i="2"/>
  <c r="A20" i="1" s="1"/>
  <c r="E14" i="2"/>
  <c r="A24" i="1" s="1"/>
  <c r="E17" i="2"/>
  <c r="A30" i="1" s="1"/>
  <c r="E11" i="2"/>
  <c r="A18" i="1" s="1"/>
  <c r="E20" i="2"/>
  <c r="A36" i="1" s="1"/>
  <c r="E19" i="2"/>
  <c r="A34" i="1" s="1"/>
  <c r="E77" i="1" l="1"/>
  <c r="A75" i="1"/>
  <c r="I113" i="1"/>
  <c r="G44" i="1"/>
  <c r="G50" i="1" s="1"/>
  <c r="C73" i="1"/>
  <c r="I11" i="1"/>
  <c r="E44" i="1"/>
  <c r="E85" i="1" l="1"/>
  <c r="I85" i="1" s="1"/>
  <c r="G63" i="1"/>
  <c r="E87" i="1" l="1"/>
  <c r="E89" i="1" s="1"/>
  <c r="G89" i="1" s="1"/>
  <c r="G91" i="1" l="1"/>
  <c r="G32" i="3" s="1"/>
  <c r="G33" i="3" l="1"/>
  <c r="G16" i="3"/>
  <c r="D48" i="3"/>
  <c r="C37" i="3" s="1"/>
  <c r="G37" i="3"/>
  <c r="G13" i="3"/>
  <c r="G15" i="3"/>
  <c r="G29" i="3"/>
  <c r="G26" i="3"/>
  <c r="G34" i="3"/>
  <c r="G17" i="3"/>
  <c r="D51" i="3"/>
  <c r="F37" i="3" s="1"/>
  <c r="G18" i="3"/>
  <c r="G28" i="3"/>
  <c r="G36" i="3"/>
  <c r="G30" i="3"/>
  <c r="G23" i="3"/>
  <c r="G31" i="3"/>
  <c r="G20" i="3"/>
  <c r="G25" i="3"/>
  <c r="G24" i="3"/>
  <c r="D50" i="3"/>
  <c r="E37" i="3" s="1"/>
  <c r="G27" i="3"/>
  <c r="G35" i="3"/>
  <c r="G19" i="3"/>
  <c r="G10" i="3"/>
  <c r="G22" i="3"/>
  <c r="G21" i="3"/>
  <c r="D49" i="3"/>
  <c r="D37" i="3" s="1"/>
  <c r="G11" i="3"/>
  <c r="G12" i="3"/>
  <c r="G14" i="3"/>
  <c r="B39" i="3" l="1"/>
  <c r="B43" i="3" s="1"/>
  <c r="B44" i="3" s="1"/>
  <c r="A104" i="1" s="1"/>
  <c r="C39" i="3" l="1"/>
  <c r="A97" i="1" s="1"/>
  <c r="E147" i="1"/>
  <c r="E142" i="1"/>
  <c r="C28" i="2"/>
  <c r="E131" i="1"/>
  <c r="A152" i="1"/>
  <c r="A105" i="1"/>
  <c r="E139" i="1"/>
  <c r="E150" i="1"/>
  <c r="E134" i="1"/>
  <c r="A149" i="1"/>
  <c r="C30" i="2"/>
  <c r="E151" i="1"/>
  <c r="E143" i="1"/>
  <c r="E135" i="1"/>
  <c r="E127" i="1"/>
  <c r="E146" i="1"/>
  <c r="E138" i="1"/>
  <c r="E130" i="1"/>
  <c r="A136" i="1"/>
  <c r="A133" i="1"/>
  <c r="A134" i="1"/>
  <c r="A144" i="1"/>
  <c r="A128" i="1"/>
  <c r="A141" i="1"/>
  <c r="A150" i="1"/>
  <c r="E153" i="1"/>
  <c r="A142" i="1"/>
  <c r="A126" i="1"/>
  <c r="A147" i="1"/>
  <c r="A139" i="1"/>
  <c r="A131" i="1"/>
  <c r="C29" i="2"/>
  <c r="C27" i="2"/>
  <c r="A107" i="1"/>
  <c r="E126" i="1"/>
  <c r="E149" i="1"/>
  <c r="E145" i="1"/>
  <c r="E141" i="1"/>
  <c r="E137" i="1"/>
  <c r="E133" i="1"/>
  <c r="E129" i="1"/>
  <c r="E152" i="1"/>
  <c r="E148" i="1"/>
  <c r="E144" i="1"/>
  <c r="E140" i="1"/>
  <c r="E136" i="1"/>
  <c r="E132" i="1"/>
  <c r="E128" i="1"/>
  <c r="A148" i="1"/>
  <c r="A140" i="1"/>
  <c r="A132" i="1"/>
  <c r="A153" i="1"/>
  <c r="A145" i="1"/>
  <c r="A137" i="1"/>
  <c r="A129" i="1"/>
  <c r="A146" i="1"/>
  <c r="A138" i="1"/>
  <c r="A130" i="1"/>
  <c r="A151" i="1"/>
  <c r="A143" i="1"/>
  <c r="A135" i="1"/>
  <c r="A127" i="1"/>
  <c r="G107" i="1" l="1"/>
  <c r="G111" i="1" s="1"/>
  <c r="G113" i="1" s="1"/>
</calcChain>
</file>

<file path=xl/sharedStrings.xml><?xml version="1.0" encoding="utf-8"?>
<sst xmlns="http://schemas.openxmlformats.org/spreadsheetml/2006/main" count="198" uniqueCount="157">
  <si>
    <t>Aktenzeichen</t>
  </si>
  <si>
    <t>Geburtsdatum</t>
  </si>
  <si>
    <t>Junger Mensch</t>
  </si>
  <si>
    <t>Kostenbeitragspflichtige/r</t>
  </si>
  <si>
    <t>Einkommenszeitraum</t>
  </si>
  <si>
    <t>Auswahlwerte</t>
  </si>
  <si>
    <t>Härtefallzeitraum (§ 93 Abs. 4 Satz 4 SGB VIII)</t>
  </si>
  <si>
    <t>Wert</t>
  </si>
  <si>
    <t>Einkommen von</t>
  </si>
  <si>
    <t>Einkommen bis</t>
  </si>
  <si>
    <t>Bitte Eingabe!</t>
  </si>
  <si>
    <t>Solidaritätszuschlag</t>
  </si>
  <si>
    <t>Kirchensteuer</t>
  </si>
  <si>
    <t>Januar</t>
  </si>
  <si>
    <t>Februar</t>
  </si>
  <si>
    <t>März</t>
  </si>
  <si>
    <t>April</t>
  </si>
  <si>
    <t>Mai</t>
  </si>
  <si>
    <t>Juni</t>
  </si>
  <si>
    <t>Juli</t>
  </si>
  <si>
    <t>August</t>
  </si>
  <si>
    <t>September</t>
  </si>
  <si>
    <t>Oktober</t>
  </si>
  <si>
    <t>November</t>
  </si>
  <si>
    <t>Dezember</t>
  </si>
  <si>
    <t>Auswahlbegriff</t>
  </si>
  <si>
    <t>Text bei Wert 1</t>
  </si>
  <si>
    <t>Text bei Wert 2</t>
  </si>
  <si>
    <t>Erläuterung</t>
  </si>
  <si>
    <t>Monatsnummer</t>
  </si>
  <si>
    <t>Monatsname</t>
  </si>
  <si>
    <t>+</t>
  </si>
  <si>
    <t>Monatlicher Betrag</t>
  </si>
  <si>
    <t>Renten</t>
  </si>
  <si>
    <t>Zinsen / Dividende / Kapitalerlöse</t>
  </si>
  <si>
    <t>=</t>
  </si>
  <si>
    <t>÷</t>
  </si>
  <si>
    <t>Einkünfte aus Vermietung / Verpachtung</t>
  </si>
  <si>
    <t>Bruttoerwerbseinkommen</t>
  </si>
  <si>
    <t>Einkommen Betragsart</t>
  </si>
  <si>
    <t>Pflichtbeiträge zur Krankenversicherung</t>
  </si>
  <si>
    <t>Pflichtbeiträge zur Pflegepflichtversicherung</t>
  </si>
  <si>
    <t>Pflichtbeiträge zur Rentenversicherung</t>
  </si>
  <si>
    <t>Pflichtbeiträge zur Arbeitslosenversicherung</t>
  </si>
  <si>
    <t>./.</t>
  </si>
  <si>
    <t>Betragsart</t>
  </si>
  <si>
    <t>Weihnachts-, Urlaubsgeld, etc.</t>
  </si>
  <si>
    <t>Berechnung des Einkommens nach § 93 SGB VIII</t>
  </si>
  <si>
    <t>Jahreswerte</t>
  </si>
  <si>
    <t>Monatswerte</t>
  </si>
  <si>
    <t>Schuldverpflichtungen</t>
  </si>
  <si>
    <t>Maßgeblich ist der höhere Betrag</t>
  </si>
  <si>
    <t>Bitte wählen…</t>
  </si>
  <si>
    <t>Leistungsjahr (§ 93 Abs. 4 Satz 2 und 3 SGB VIII)</t>
  </si>
  <si>
    <t>Kostenbeitrag von</t>
  </si>
  <si>
    <t>Kostenbeitrag bis</t>
  </si>
  <si>
    <t>Vorjahr (§ 93 Abs. 4 Satz 1 SGB VIII)</t>
  </si>
  <si>
    <t>Berechnungsdatum</t>
  </si>
  <si>
    <t>Monate</t>
  </si>
  <si>
    <t>Beiträge zu öff./priv. Versicherungen o.ä. Einrichtungen</t>
  </si>
  <si>
    <t>Monatliche Belastungen gem. § 93 Abs. 3 SGB VIII insgesamt</t>
  </si>
  <si>
    <t>Pauschale Anerkennung (25% der Einkünfte nach § 93 Abs. 1 und 2 SGB VIII)</t>
  </si>
  <si>
    <t>Summe der Einkünfte gemäß § 93 Abs. 1 und 2 SGB VIII</t>
  </si>
  <si>
    <t>Lohn- / Einkommensteuer</t>
  </si>
  <si>
    <t>Einfache Fahrtstrecke zur Arbeitsstelle</t>
  </si>
  <si>
    <t>km</t>
  </si>
  <si>
    <t>Fahrten zur Arbeitsstelle im o.g. Zeitraum an</t>
  </si>
  <si>
    <t>Sonstige berufsbedingte Ausgaben</t>
  </si>
  <si>
    <t>Berechnungsparameter</t>
  </si>
  <si>
    <t>km-Pauschale für Fahrten zur Arbeit</t>
  </si>
  <si>
    <t>Bezeichnung</t>
  </si>
  <si>
    <t>Standardanzahl Arbeitstage pro Jahr</t>
  </si>
  <si>
    <t>Maßgebliches kostenbeitragsrelevantes Einkommen nach § 93 SGB VIII</t>
  </si>
  <si>
    <t>Sonstige anzuerkennende Belastungen</t>
  </si>
  <si>
    <r>
      <t xml:space="preserve">Kostenbeitragsberechnung nach dem SGB VIII
</t>
    </r>
    <r>
      <rPr>
        <sz val="14"/>
        <color theme="0"/>
        <rFont val="Arial"/>
        <family val="2"/>
      </rPr>
      <t>für Elternteile, Ehegatten und Lebenspartner des minderjährigen jungen Menschen</t>
    </r>
  </si>
  <si>
    <t>www.kostenbeitrag.de</t>
  </si>
  <si>
    <t>Berechnungsvorlagen für die Jugendhilfe   -   Ein Service von</t>
  </si>
  <si>
    <t>Für die richtige Altersstufenzuordnung ist die Eingabe des korrekten Geburtsdatums des jungen Menschen sehr wichtig.</t>
  </si>
  <si>
    <t>Bedienungs- / Eingabehinweise</t>
  </si>
  <si>
    <t>Das hier ermittelte Einkommen ist Grundlage für die Einstufung in die Kostenbeitragstabelle.</t>
  </si>
  <si>
    <t>Untergebrachte Person</t>
  </si>
  <si>
    <t>die 1. vollstationär betreute Person</t>
  </si>
  <si>
    <t>die 2. vollstationär betreute Person</t>
  </si>
  <si>
    <t>die 3. vollstationär betreute Person</t>
  </si>
  <si>
    <t>eine teilstationär betreute Person</t>
  </si>
  <si>
    <t>Auswahlwert</t>
  </si>
  <si>
    <t>Kostenbeitragstabelle</t>
  </si>
  <si>
    <t>Gruppe</t>
  </si>
  <si>
    <t>Beitragsstufe 1 vollstationär</t>
  </si>
  <si>
    <t>Beitragsstufe 2 vollstationär</t>
  </si>
  <si>
    <t>Beitragsstufe 3 vollstationär</t>
  </si>
  <si>
    <t>Beitragsstufe 4 teilstationär</t>
  </si>
  <si>
    <t>Einkommensgruppe</t>
  </si>
  <si>
    <t>Maßgebliches Einkommen bis…</t>
  </si>
  <si>
    <t>Vorläufige Einkommensgruppe</t>
  </si>
  <si>
    <t>Anzahl weitere UH-Berechtigte</t>
  </si>
  <si>
    <t>Maßgebliche Einkommensgruppe</t>
  </si>
  <si>
    <t>Wählen Sie die Betragsart aus, damit die korrekten Bezeichnungen und Rechenformeln eingefügt werden.</t>
  </si>
  <si>
    <t>Schuldverpflichtungen und sonstige anzuerkennende Belastungen sind in nachgewiesener bzw. nach Ausübung pflichtgemäßen Ermessens zu berücksichtigender Höhe hier einzutragen.</t>
  </si>
  <si>
    <t>Es wird automatisch die Pauschale von 25 % der Einkünfte nach § 93 Abs. 1 und 2 SGB VIII oder die Summe der manuell erfassten Belastungen berücksichtigt - je nach dem, welcher Betrag höher ist.</t>
  </si>
  <si>
    <t>Treffen Sie die Auswahl aus Sicht des/der hier maßgeblichen Kostenbeitragspflichtigen.</t>
  </si>
  <si>
    <r>
      <t xml:space="preserve">Nachfolgend einzugeben sind nachgewiesene </t>
    </r>
    <r>
      <rPr>
        <u/>
        <sz val="10"/>
        <rFont val="Arial"/>
        <family val="2"/>
      </rPr>
      <t>Monats</t>
    </r>
    <r>
      <rPr>
        <sz val="10"/>
        <rFont val="Arial"/>
        <family val="2"/>
      </rPr>
      <t>beträge in angemessener Höhe (ohne Verletzung der Grundsätze einer wirtschaftlichen Lebensführung) für Versicherungen u.ä., die nicht bereits oben beim Einkommen nach § 93 Abs. 1 und 2 SGB VIII berücksichtigt sind</t>
    </r>
  </si>
  <si>
    <t>Beitragsstufe</t>
  </si>
  <si>
    <t>Hilfswert für EK-Gruppe</t>
  </si>
  <si>
    <r>
      <t xml:space="preserve">Geben Sie die Anzahl der vor-/gleichrangig Berechtigten ein, die </t>
    </r>
    <r>
      <rPr>
        <u/>
        <sz val="10"/>
        <rFont val="Arial"/>
        <family val="2"/>
      </rPr>
      <t>nicht</t>
    </r>
    <r>
      <rPr>
        <sz val="10"/>
        <rFont val="Arial"/>
        <family val="2"/>
      </rPr>
      <t xml:space="preserve"> in stationärer Jugendhilfe untergebracht sind, sondern im Haushalt des/der Pflichtigen leben oder für die er/sie nachweislich Unterhalt zahlt (idR mdj. Geschwister, evtl. auch Halb- oder Stiefgeschwister des jungen Menschen).</t>
    </r>
  </si>
  <si>
    <t>KB bei Einkommensgruppe 28</t>
  </si>
  <si>
    <t>vollstationär</t>
  </si>
  <si>
    <t>untergebrachte Personen</t>
  </si>
  <si>
    <t xml:space="preserve">Prozentsatz </t>
  </si>
  <si>
    <t>Kostenbeitrag</t>
  </si>
  <si>
    <t>teilstationär</t>
  </si>
  <si>
    <t>Abs. 3</t>
  </si>
  <si>
    <t>Abs. 2 Nr. 1</t>
  </si>
  <si>
    <t>Abs. 2 Nr. 2</t>
  </si>
  <si>
    <t>Abs. 2 Nr. 3</t>
  </si>
  <si>
    <t xml:space="preserve">§ 5 </t>
  </si>
  <si>
    <t xml:space="preserve">Einkommensgruppe </t>
  </si>
  <si>
    <t>Maßgebliches Einkommen</t>
  </si>
  <si>
    <t>Anmerkungen</t>
  </si>
  <si>
    <r>
      <t xml:space="preserve">Anzahl weiterer vor-/gleichrangig Berechtigter, für die eine Unterhaltspflicht, aber </t>
    </r>
    <r>
      <rPr>
        <u/>
        <sz val="12"/>
        <color theme="1" tint="0.34998626667073579"/>
        <rFont val="Arial"/>
        <family val="2"/>
      </rPr>
      <t>keine</t>
    </r>
    <r>
      <rPr>
        <sz val="12"/>
        <color theme="1" tint="0.34998626667073579"/>
        <rFont val="Arial"/>
        <family val="2"/>
      </rPr>
      <t xml:space="preserve"> Kostenbeitragspflicht besteht</t>
    </r>
  </si>
  <si>
    <t>Gemäß § 4 KostenbeitragsVO ist bei einem Einkommen der Gruppen 2 bis 6 je weiterer Unterhaltspflicht eine um 2 Stufen niedrigere</t>
  </si>
  <si>
    <t>Je nach Einkommensgruppe, Beitragsstufe und Anzahl weiterer Berechtigter wird hier die Zuordnung zur endgültigen Einkommensgruppe und der sich daraus ergebende Kostenbeitrag automatisch angegeben.</t>
  </si>
  <si>
    <t>Hier können Sie Erläuterungen zur Berechnung als Freitext eintragen.
Tipp: Mit Alt+Enter erzeugen Sie innerhalb dieser Zelle einen Zeilenumbruch.</t>
  </si>
  <si>
    <t>Vorl. KB</t>
  </si>
  <si>
    <t>Der junge Mensch ist für diese/n Pflichtige/n</t>
  </si>
  <si>
    <t>Plausibilitätshinweise</t>
  </si>
  <si>
    <r>
      <t xml:space="preserve">Wählen Sie den  Einkommenszeitraum aus, damit von- und bis-Datum sowie die Monate automatisch ermittelt werden. Bei der Auswahl "Härtefallzeitraum" müssen Sie von- und bis-Datum sowie Anzahl der Monate manuell eingeben. </t>
    </r>
    <r>
      <rPr>
        <u/>
        <sz val="10"/>
        <rFont val="Arial"/>
        <family val="2"/>
      </rPr>
      <t>Achtung:</t>
    </r>
    <r>
      <rPr>
        <sz val="10"/>
        <rFont val="Arial"/>
        <family val="2"/>
      </rPr>
      <t xml:space="preserve"> Damit überschreiben Sie auch die Formeln für die automatische Ermittlung! Bei jeder weiteren Änderung müssen Sie diese Daten dann jeweils manuell eintragen!</t>
    </r>
  </si>
  <si>
    <r>
      <rPr>
        <b/>
        <u/>
        <sz val="10"/>
        <rFont val="Arial"/>
        <family val="2"/>
      </rPr>
      <t>Grundsätzliche Hinweise:</t>
    </r>
    <r>
      <rPr>
        <b/>
        <sz val="10"/>
        <rFont val="Arial"/>
        <family val="2"/>
      </rPr>
      <t xml:space="preserve"> </t>
    </r>
    <r>
      <rPr>
        <sz val="10"/>
        <rFont val="Arial"/>
        <family val="2"/>
      </rPr>
      <t xml:space="preserve">
Pflichtfelder sind hellgrün schattiert.
In allen Auswahlfeldern (die beim Anklicken ausklappen) ist eine Auswahl zu treffen.
Arbeiten Sie von oben nach unten bzw. von links nach rechts.</t>
    </r>
  </si>
  <si>
    <t>Summe der Einkünfte gemäß § 93 Abs. 1 und 2 Nr. 1 - 2 SGB VIII</t>
  </si>
  <si>
    <t>zur Absicherung der Risiken</t>
  </si>
  <si>
    <t>Erläuterung / Anerkennung (nach Grund und Höhe angemessen)</t>
  </si>
  <si>
    <t>Gemäß § 93 Abs. 2 Nr. 3 SGB VIII zu berücksichtigende mtl. Beiträge zu öffentl. oder privaten Versicherungen oder ähnlichen Einrichtungen</t>
  </si>
  <si>
    <t>- Alter</t>
  </si>
  <si>
    <t>- Krankheit</t>
  </si>
  <si>
    <t>- Pflegebedürftigkeit</t>
  </si>
  <si>
    <t>- Arbeitslosigkeit</t>
  </si>
  <si>
    <t>Tragen Sie hier monatliche Beiträge zu den genannten Versicherungen ein, soweit diese nicht im vorherigen Abschnitt nach § 93 Abs. 1 und 2 Nr. 1 - 2 SGB VIII (im Gehaltsnachweis) bereits berücksichtigt sind.
Eine Anerkennung dieser Beiträge ist nur in einem dem Grund und der Höhe nach angemessenen Umfang möglich. Erläutern Sie etwaige Kürzungen in den entsprechenden Feldern bzw. im Bescheid.</t>
  </si>
  <si>
    <t>Sonstige monatliche Einkünfte</t>
  </si>
  <si>
    <t>Summe</t>
  </si>
  <si>
    <t>Die ermittelte Summe wird durch die Anzahl der oben angegebenen Einkommensmonate geteilt.</t>
  </si>
  <si>
    <t>Tragen Sie hier sonstige, oben noch nicht berücksichtigte monatliche Einkünfte ein.</t>
  </si>
  <si>
    <t>Wochengruppen</t>
  </si>
  <si>
    <t>Reduzierung %</t>
  </si>
  <si>
    <t>Festzusetzender Kostenbeitrag</t>
  </si>
  <si>
    <t>Einstufung in die Kostenbeitragstabelle und Festsetzung des Kostenbeitrags</t>
  </si>
  <si>
    <t>Zur Berücksichtigung hier rechnerisch nicht aufgeführter Unterhaltspflichten kann eine Reduzierung im Bescheid notwendig werden (z.B. Anerkennung von weiteren Belastungen / Verpflichtungen nach unterhaltsrechtlichen Maßstäben).</t>
  </si>
  <si>
    <t>Freilassung bei stationären Hilfen mit Wochengruppenunterbringung</t>
  </si>
  <si>
    <t>bis km</t>
  </si>
  <si>
    <t>km-Pauschale2 für Fahrten zur Arbeit</t>
  </si>
  <si>
    <t>Teilstationäre Hilfe (Tagesgruppe, JM lebt bei Kostenbeitragspflichtigen)</t>
  </si>
  <si>
    <t>Vollstationäre Unterbringung an 7 von 7 Tagen (Tag und Nacht)</t>
  </si>
  <si>
    <t>Vollstationär z.B. 5/7 Wochengruppe, sonst. lebt JM bei Kostenbeitragspflichtigen</t>
  </si>
  <si>
    <t>Vollstationär z.B. 5/7 Wochengruppe, sonst. lebt JM bei anderem Elternteil/Dritten</t>
  </si>
  <si>
    <t>Wählen Sie aus, ob der errechnete Kostenbeitrag aufgrund Wochengruppenunterbringung (z.B. 5 von 7 Tagen) zu reduzieren ist, falls der junge Mensch an den anderen Tagen im Haushalt des/der hier berechneten Kostenbeitragspflichtigen lebt.</t>
  </si>
  <si>
    <t>km-Pauschale3 für Fahrten zur Arbeit</t>
  </si>
  <si>
    <t>gültig von (Jahr)</t>
  </si>
  <si>
    <t>gültig bis (Jahr)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</si>
</sst>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44" formatCode="_-* #,##0.00\ &quot;€&quot;_-;\-* #,##0.00\ &quot;€&quot;_-;_-* &quot;-&quot;??\ &quot;€&quot;_-;_-@_-"/>
    <numFmt numFmtId="164" formatCode="0&quot; Monate&quot;"/>
    <numFmt numFmtId="165" formatCode="#,##0.00\ &quot;€&quot;"/>
    <numFmt numFmtId="166" formatCode="&quot;Stand: &quot;dd/mm/yyyy"/>
    <numFmt numFmtId="167" formatCode="&quot;Gültig ab: &quot;dd/mm/yyyy"/>
    <numFmt numFmtId="168" formatCode="#,##0.00_ ;[Red]\-#,##0.00\ "/>
  </numFmts>
  <fonts count="60" x14ac:knownFonts="1">
    <font>
      <sz val="11"/>
      <color theme="1"/>
      <name val="Calibri"/>
      <family val="2"/>
      <scheme val="minor"/>
    </font>
    <font>
      <sz val="10"/>
      <color theme="1"/>
      <name val="Arial"/>
      <family val="2"/>
    </font>
    <font>
      <sz val="12"/>
      <color theme="1" tint="0.499984740745262"/>
      <name val="Arial"/>
      <family val="2"/>
    </font>
    <font>
      <sz val="20"/>
      <color theme="0"/>
      <name val="Arial"/>
      <family val="2"/>
    </font>
    <font>
      <sz val="14"/>
      <color theme="1" tint="0.34998626667073579"/>
      <name val="Arial"/>
      <family val="2"/>
    </font>
    <font>
      <sz val="14"/>
      <color theme="1" tint="0.499984740745262"/>
      <name val="Arial"/>
      <family val="2"/>
    </font>
    <font>
      <sz val="10"/>
      <color theme="1" tint="0.499984740745262"/>
      <name val="Arial"/>
      <family val="2"/>
    </font>
    <font>
      <sz val="10"/>
      <color theme="0" tint="-0.499984740745262"/>
      <name val="Arial"/>
      <family val="2"/>
    </font>
    <font>
      <sz val="12"/>
      <color theme="4" tint="-0.499984740745262"/>
      <name val="Arial"/>
      <family val="2"/>
    </font>
    <font>
      <sz val="12"/>
      <name val="Arial"/>
      <family val="2"/>
    </font>
    <font>
      <sz val="16"/>
      <color theme="0"/>
      <name val="Arial"/>
      <family val="2"/>
    </font>
    <font>
      <sz val="16"/>
      <color theme="0" tint="-0.499984740745262"/>
      <name val="Arial"/>
      <family val="2"/>
    </font>
    <font>
      <sz val="16"/>
      <color theme="1" tint="0.34998626667073579"/>
      <name val="Arial"/>
      <family val="2"/>
    </font>
    <font>
      <sz val="16"/>
      <color theme="1" tint="0.499984740745262"/>
      <name val="Arial"/>
      <family val="2"/>
    </font>
    <font>
      <sz val="12"/>
      <color theme="1"/>
      <name val="Arial"/>
      <family val="2"/>
    </font>
    <font>
      <sz val="12"/>
      <color theme="1" tint="0.34998626667073579"/>
      <name val="Arial"/>
      <family val="2"/>
    </font>
    <font>
      <b/>
      <sz val="14"/>
      <color theme="1" tint="0.34998626667073579"/>
      <name val="Arial"/>
      <family val="2"/>
    </font>
    <font>
      <sz val="12"/>
      <color theme="4"/>
      <name val="Arial"/>
      <family val="2"/>
    </font>
    <font>
      <sz val="12"/>
      <color theme="0"/>
      <name val="Arial"/>
      <family val="2"/>
    </font>
    <font>
      <sz val="12"/>
      <color theme="0" tint="-0.499984740745262"/>
      <name val="Arial"/>
      <family val="2"/>
    </font>
    <font>
      <sz val="11"/>
      <color theme="1"/>
      <name val="Arial"/>
      <family val="2"/>
    </font>
    <font>
      <b/>
      <sz val="11"/>
      <color theme="1"/>
      <name val="Arial"/>
      <family val="2"/>
    </font>
    <font>
      <sz val="14"/>
      <color theme="0"/>
      <name val="Arial"/>
      <family val="2"/>
    </font>
    <font>
      <u/>
      <sz val="11"/>
      <color theme="10"/>
      <name val="Calibri"/>
      <family val="2"/>
      <scheme val="minor"/>
    </font>
    <font>
      <sz val="9"/>
      <name val="Arial"/>
      <family val="2"/>
    </font>
    <font>
      <u/>
      <sz val="9"/>
      <color theme="4"/>
      <name val="Arial"/>
      <family val="2"/>
    </font>
    <font>
      <b/>
      <sz val="12"/>
      <color theme="1" tint="0.34998626667073579"/>
      <name val="Arial"/>
      <family val="2"/>
    </font>
    <font>
      <b/>
      <sz val="12"/>
      <color theme="1" tint="0.499984740745262"/>
      <name val="Arial"/>
      <family val="2"/>
    </font>
    <font>
      <b/>
      <sz val="12"/>
      <color theme="4" tint="-0.499984740745262"/>
      <name val="Arial"/>
      <family val="2"/>
    </font>
    <font>
      <sz val="10"/>
      <name val="Arial"/>
      <family val="2"/>
    </font>
    <font>
      <sz val="10"/>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Arial"/>
      <family val="2"/>
    </font>
    <font>
      <b/>
      <sz val="11"/>
      <name val="Arial"/>
      <family val="2"/>
    </font>
    <font>
      <u/>
      <sz val="12"/>
      <color theme="1" tint="0.34998626667073579"/>
      <name val="Arial"/>
      <family val="2"/>
    </font>
    <font>
      <b/>
      <sz val="10"/>
      <name val="Arial"/>
      <family val="2"/>
    </font>
    <font>
      <u/>
      <sz val="10"/>
      <name val="Arial"/>
      <family val="2"/>
    </font>
    <font>
      <sz val="8"/>
      <name val="Calibri"/>
      <family val="2"/>
      <scheme val="minor"/>
    </font>
    <font>
      <b/>
      <sz val="12"/>
      <color theme="1"/>
      <name val="Arial"/>
      <family val="2"/>
    </font>
    <font>
      <b/>
      <sz val="12"/>
      <name val="Arial"/>
      <family val="2"/>
    </font>
    <font>
      <sz val="10"/>
      <color rgb="FFC00000"/>
      <name val="Arial"/>
      <family val="2"/>
    </font>
    <font>
      <b/>
      <sz val="10"/>
      <color rgb="FFC00000"/>
      <name val="Arial"/>
      <family val="2"/>
    </font>
    <font>
      <b/>
      <u/>
      <sz val="10"/>
      <name val="Arial"/>
      <family val="2"/>
    </font>
  </fonts>
  <fills count="31">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4" tint="0.79998168889431442"/>
        <bgColor indexed="64"/>
      </patternFill>
    </fill>
    <fill>
      <patternFill patternType="solid">
        <fgColor theme="9" tint="0.79998168889431442"/>
        <bgColor indexed="64"/>
      </patternFill>
    </fill>
  </fills>
  <borders count="18">
    <border>
      <left/>
      <right/>
      <top/>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s>
  <cellStyleXfs count="49">
    <xf numFmtId="0" fontId="0" fillId="0" borderId="0"/>
    <xf numFmtId="0" fontId="23" fillId="0" borderId="0" applyNumberFormat="0" applyFill="0" applyBorder="0" applyAlignment="0" applyProtection="0"/>
    <xf numFmtId="0" fontId="29" fillId="0" borderId="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4" borderId="0" applyNumberFormat="0" applyBorder="0" applyAlignment="0" applyProtection="0"/>
    <xf numFmtId="0" fontId="34" fillId="25" borderId="4" applyNumberFormat="0" applyAlignment="0" applyProtection="0"/>
    <xf numFmtId="0" fontId="35" fillId="25" borderId="5" applyNumberFormat="0" applyAlignment="0" applyProtection="0"/>
    <xf numFmtId="0" fontId="36" fillId="12" borderId="5" applyNumberFormat="0" applyAlignment="0" applyProtection="0"/>
    <xf numFmtId="0" fontId="37" fillId="0" borderId="6" applyNumberFormat="0" applyFill="0" applyAlignment="0" applyProtection="0"/>
    <xf numFmtId="0" fontId="38" fillId="0" borderId="0" applyNumberFormat="0" applyFill="0" applyBorder="0" applyAlignment="0" applyProtection="0"/>
    <xf numFmtId="44" fontId="30" fillId="0" borderId="0" applyFont="0" applyFill="0" applyBorder="0" applyAlignment="0" applyProtection="0"/>
    <xf numFmtId="0" fontId="39" fillId="9" borderId="0" applyNumberFormat="0" applyBorder="0" applyAlignment="0" applyProtection="0"/>
    <xf numFmtId="0" fontId="31" fillId="0" borderId="0" applyNumberFormat="0" applyFill="0" applyBorder="0" applyAlignment="0" applyProtection="0">
      <alignment vertical="top"/>
      <protection locked="0"/>
    </xf>
    <xf numFmtId="0" fontId="40" fillId="26" borderId="0" applyNumberFormat="0" applyBorder="0" applyAlignment="0" applyProtection="0"/>
    <xf numFmtId="0" fontId="32" fillId="27" borderId="7" applyNumberFormat="0" applyFont="0" applyAlignment="0" applyProtection="0"/>
    <xf numFmtId="0" fontId="41" fillId="8" borderId="0" applyNumberFormat="0" applyBorder="0" applyAlignment="0" applyProtection="0"/>
    <xf numFmtId="0" fontId="30" fillId="0" borderId="0"/>
    <xf numFmtId="0" fontId="30" fillId="0" borderId="0"/>
    <xf numFmtId="0" fontId="42" fillId="0" borderId="0" applyNumberForma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44" fontId="30" fillId="0" borderId="0" applyFont="0" applyFill="0" applyBorder="0" applyAlignment="0" applyProtection="0"/>
    <xf numFmtId="0" fontId="47" fillId="0" borderId="0" applyNumberFormat="0" applyFill="0" applyBorder="0" applyAlignment="0" applyProtection="0"/>
    <xf numFmtId="0" fontId="48" fillId="28" borderId="12" applyNumberFormat="0" applyAlignment="0" applyProtection="0"/>
  </cellStyleXfs>
  <cellXfs count="173">
    <xf numFmtId="0" fontId="0" fillId="0" borderId="0" xfId="0"/>
    <xf numFmtId="0" fontId="20"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right" vertical="center" wrapText="1"/>
    </xf>
    <xf numFmtId="0" fontId="21" fillId="0" borderId="0" xfId="0" applyFont="1" applyAlignment="1">
      <alignment horizontal="left" vertical="center" wrapText="1"/>
    </xf>
    <xf numFmtId="0" fontId="20"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left" vertical="center"/>
    </xf>
    <xf numFmtId="0" fontId="20" fillId="0" borderId="0" xfId="0" applyFont="1" applyAlignment="1">
      <alignment horizontal="right" vertical="center"/>
    </xf>
    <xf numFmtId="0" fontId="50" fillId="0" borderId="13" xfId="39" applyFont="1" applyBorder="1" applyAlignment="1">
      <alignment horizontal="left" vertical="center"/>
    </xf>
    <xf numFmtId="168" fontId="49" fillId="0" borderId="13" xfId="39" applyNumberFormat="1" applyFont="1" applyBorder="1" applyAlignment="1">
      <alignment horizontal="right" vertical="center"/>
    </xf>
    <xf numFmtId="168" fontId="49" fillId="0" borderId="13" xfId="39" applyNumberFormat="1" applyFont="1" applyBorder="1" applyAlignment="1">
      <alignment horizontal="left" vertical="center"/>
    </xf>
    <xf numFmtId="0" fontId="20" fillId="0" borderId="13" xfId="0" applyFont="1" applyBorder="1" applyAlignment="1">
      <alignment horizontal="center" vertical="center"/>
    </xf>
    <xf numFmtId="0" fontId="20" fillId="0" borderId="0" xfId="0" applyFont="1" applyAlignment="1">
      <alignment horizontal="center"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2" xfId="0" applyFont="1" applyBorder="1" applyAlignment="1">
      <alignment horizontal="center" vertical="center"/>
    </xf>
    <xf numFmtId="0" fontId="49" fillId="0" borderId="13" xfId="39" applyFont="1" applyBorder="1" applyAlignment="1">
      <alignment horizontal="right" vertical="center"/>
    </xf>
    <xf numFmtId="0" fontId="20" fillId="0" borderId="13" xfId="0" applyFont="1" applyBorder="1" applyAlignment="1">
      <alignment horizontal="right" vertical="center"/>
    </xf>
    <xf numFmtId="165" fontId="20" fillId="0" borderId="13" xfId="0" applyNumberFormat="1" applyFont="1" applyBorder="1" applyAlignment="1">
      <alignment horizontal="right" vertical="center"/>
    </xf>
    <xf numFmtId="0" fontId="55" fillId="0" borderId="13" xfId="0" applyFont="1" applyBorder="1" applyAlignment="1">
      <alignment vertical="center"/>
    </xf>
    <xf numFmtId="0" fontId="21" fillId="0" borderId="13" xfId="0" applyFont="1" applyBorder="1" applyAlignment="1">
      <alignment horizontal="center" vertical="center"/>
    </xf>
    <xf numFmtId="0" fontId="21" fillId="0" borderId="13" xfId="0" applyFont="1" applyBorder="1" applyAlignment="1">
      <alignment horizontal="right" vertical="center"/>
    </xf>
    <xf numFmtId="2" fontId="17" fillId="4" borderId="13" xfId="0" applyNumberFormat="1" applyFont="1" applyFill="1" applyBorder="1" applyAlignment="1" applyProtection="1">
      <alignment horizontal="right" vertical="center"/>
      <protection locked="0" hidden="1"/>
    </xf>
    <xf numFmtId="1" fontId="17" fillId="4" borderId="13" xfId="0" applyNumberFormat="1" applyFont="1" applyFill="1" applyBorder="1" applyAlignment="1" applyProtection="1">
      <alignment horizontal="right" vertical="center"/>
      <protection locked="0" hidden="1"/>
    </xf>
    <xf numFmtId="0" fontId="18" fillId="2" borderId="0" xfId="0" applyFont="1" applyFill="1" applyAlignment="1">
      <alignment horizontal="left" vertical="center"/>
    </xf>
    <xf numFmtId="0" fontId="14" fillId="0" borderId="0" xfId="0" applyFont="1" applyAlignment="1">
      <alignment vertical="center"/>
    </xf>
    <xf numFmtId="0" fontId="9" fillId="29" borderId="13" xfId="0" applyFont="1" applyFill="1" applyBorder="1" applyAlignment="1">
      <alignment vertical="center"/>
    </xf>
    <xf numFmtId="0" fontId="9" fillId="29" borderId="13" xfId="0" applyFont="1" applyFill="1" applyBorder="1" applyAlignment="1">
      <alignment horizontal="left" vertical="center"/>
    </xf>
    <xf numFmtId="0" fontId="9" fillId="0" borderId="3" xfId="0" applyFont="1" applyBorder="1" applyAlignment="1">
      <alignment horizontal="left" vertical="center"/>
    </xf>
    <xf numFmtId="0" fontId="2" fillId="0" borderId="0" xfId="0" applyFont="1" applyAlignment="1">
      <alignment vertical="center"/>
    </xf>
    <xf numFmtId="0" fontId="9" fillId="0" borderId="13" xfId="0" applyFont="1" applyBorder="1" applyAlignment="1">
      <alignment vertical="center"/>
    </xf>
    <xf numFmtId="0" fontId="56" fillId="0" borderId="13" xfId="0" applyFont="1" applyBorder="1" applyAlignment="1">
      <alignment horizontal="left" vertical="center"/>
    </xf>
    <xf numFmtId="0" fontId="9" fillId="0" borderId="0" xfId="0" applyFont="1" applyAlignment="1">
      <alignment horizontal="left" vertical="center"/>
    </xf>
    <xf numFmtId="0" fontId="14" fillId="0" borderId="0" xfId="0" applyFont="1" applyAlignment="1">
      <alignment horizontal="left" vertical="center" wrapText="1"/>
    </xf>
    <xf numFmtId="0" fontId="14" fillId="0" borderId="13" xfId="0" applyFont="1" applyBorder="1" applyAlignment="1">
      <alignment horizontal="left" vertical="center" wrapText="1"/>
    </xf>
    <xf numFmtId="0" fontId="19" fillId="0" borderId="0" xfId="0" applyFont="1" applyAlignment="1">
      <alignment vertical="center"/>
    </xf>
    <xf numFmtId="0" fontId="14" fillId="0" borderId="13" xfId="0" applyFont="1" applyBorder="1" applyAlignment="1">
      <alignment vertical="center" wrapText="1"/>
    </xf>
    <xf numFmtId="0" fontId="9" fillId="0" borderId="0" xfId="0" applyFont="1"/>
    <xf numFmtId="0" fontId="9" fillId="0" borderId="13" xfId="0" applyFont="1" applyBorder="1" applyAlignment="1">
      <alignment horizontal="left" vertical="center"/>
    </xf>
    <xf numFmtId="0" fontId="2" fillId="0" borderId="0" xfId="0" applyFont="1" applyAlignment="1">
      <alignment horizontal="left" vertical="center"/>
    </xf>
    <xf numFmtId="0" fontId="19" fillId="0" borderId="0" xfId="0" applyFont="1" applyAlignment="1">
      <alignment horizontal="left" vertical="center"/>
    </xf>
    <xf numFmtId="0" fontId="9" fillId="0" borderId="0" xfId="0" applyFont="1" applyAlignment="1">
      <alignment horizontal="left"/>
    </xf>
    <xf numFmtId="0" fontId="9" fillId="0" borderId="0" xfId="0" applyFont="1" applyAlignment="1">
      <alignment vertical="center"/>
    </xf>
    <xf numFmtId="0" fontId="56" fillId="0" borderId="13" xfId="0" applyFont="1" applyBorder="1" applyAlignment="1">
      <alignment vertical="center"/>
    </xf>
    <xf numFmtId="0" fontId="14" fillId="0" borderId="0" xfId="0" applyFont="1" applyAlignment="1">
      <alignment horizontal="left" vertical="center"/>
    </xf>
    <xf numFmtId="0" fontId="14" fillId="0" borderId="13" xfId="0" applyFont="1" applyBorder="1" applyAlignment="1">
      <alignment horizontal="left" vertical="center"/>
    </xf>
    <xf numFmtId="165" fontId="14" fillId="0" borderId="13" xfId="0" applyNumberFormat="1" applyFont="1" applyBorder="1" applyAlignment="1">
      <alignment horizontal="left" vertical="center"/>
    </xf>
    <xf numFmtId="0" fontId="24" fillId="3" borderId="0" xfId="0" applyFont="1" applyFill="1" applyAlignment="1">
      <alignment vertical="center"/>
    </xf>
    <xf numFmtId="0" fontId="25" fillId="3" borderId="0" xfId="1" applyFont="1" applyFill="1" applyAlignment="1" applyProtection="1">
      <alignment vertical="center"/>
    </xf>
    <xf numFmtId="0" fontId="24" fillId="3" borderId="0" xfId="0" applyFont="1" applyFill="1" applyAlignment="1">
      <alignment horizontal="right" vertical="center"/>
    </xf>
    <xf numFmtId="166" fontId="24" fillId="3" borderId="0" xfId="0" applyNumberFormat="1" applyFont="1" applyFill="1" applyAlignment="1">
      <alignment vertical="center"/>
    </xf>
    <xf numFmtId="167" fontId="24" fillId="3" borderId="0" xfId="0" applyNumberFormat="1" applyFont="1" applyFill="1" applyAlignment="1">
      <alignment vertical="center"/>
    </xf>
    <xf numFmtId="0" fontId="1" fillId="0" borderId="0" xfId="0" applyFont="1" applyAlignment="1">
      <alignment vertical="center"/>
    </xf>
    <xf numFmtId="0" fontId="7" fillId="0" borderId="0" xfId="0" applyFont="1" applyAlignment="1">
      <alignment vertical="center"/>
    </xf>
    <xf numFmtId="0" fontId="1" fillId="0" borderId="0" xfId="0" applyFont="1" applyAlignment="1">
      <alignment horizontal="right" vertical="center"/>
    </xf>
    <xf numFmtId="0" fontId="5" fillId="0" borderId="0" xfId="0" applyFont="1" applyAlignment="1">
      <alignment vertical="center"/>
    </xf>
    <xf numFmtId="0" fontId="9" fillId="0" borderId="0" xfId="0" applyFont="1" applyAlignment="1">
      <alignment horizontal="right" vertical="center"/>
    </xf>
    <xf numFmtId="0" fontId="10" fillId="5" borderId="0" xfId="0" applyFont="1" applyFill="1" applyAlignment="1">
      <alignment vertical="center"/>
    </xf>
    <xf numFmtId="0" fontId="10" fillId="5" borderId="0" xfId="0" applyFont="1" applyFill="1" applyAlignment="1">
      <alignment horizontal="right" vertical="center"/>
    </xf>
    <xf numFmtId="0" fontId="11"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center" vertical="center"/>
    </xf>
    <xf numFmtId="49" fontId="6" fillId="0" borderId="0" xfId="0" applyNumberFormat="1" applyFont="1" applyAlignment="1">
      <alignment horizontal="left" vertical="center"/>
    </xf>
    <xf numFmtId="49" fontId="4" fillId="0" borderId="0" xfId="0" applyNumberFormat="1" applyFont="1" applyAlignment="1">
      <alignment horizontal="left" vertical="center"/>
    </xf>
    <xf numFmtId="8" fontId="8" fillId="6" borderId="0" xfId="0" applyNumberFormat="1" applyFont="1" applyFill="1" applyAlignment="1">
      <alignment horizontal="right" vertical="center"/>
    </xf>
    <xf numFmtId="0" fontId="27" fillId="0" borderId="0" xfId="0" applyFont="1" applyAlignment="1">
      <alignment vertical="center"/>
    </xf>
    <xf numFmtId="8" fontId="28" fillId="0" borderId="2" xfId="0" applyNumberFormat="1" applyFont="1" applyBorder="1" applyAlignment="1">
      <alignment horizontal="right" vertical="center"/>
    </xf>
    <xf numFmtId="0" fontId="26" fillId="0" borderId="16" xfId="0" applyFont="1" applyBorder="1" applyAlignment="1">
      <alignment vertical="center"/>
    </xf>
    <xf numFmtId="0" fontId="15" fillId="0" borderId="16" xfId="0" applyFont="1" applyBorder="1" applyAlignment="1">
      <alignment vertical="center"/>
    </xf>
    <xf numFmtId="14" fontId="17" fillId="4" borderId="1" xfId="0" applyNumberFormat="1" applyFont="1" applyFill="1" applyBorder="1" applyAlignment="1" applyProtection="1">
      <alignment horizontal="left" vertical="center"/>
      <protection locked="0"/>
    </xf>
    <xf numFmtId="8" fontId="17" fillId="4" borderId="1" xfId="0" applyNumberFormat="1" applyFont="1" applyFill="1" applyBorder="1" applyAlignment="1" applyProtection="1">
      <alignment horizontal="right" vertical="center"/>
      <protection locked="0"/>
    </xf>
    <xf numFmtId="14" fontId="17" fillId="30" borderId="1" xfId="0" applyNumberFormat="1" applyFont="1" applyFill="1" applyBorder="1" applyAlignment="1" applyProtection="1">
      <alignment horizontal="left" vertical="center"/>
      <protection locked="0"/>
    </xf>
    <xf numFmtId="0" fontId="17" fillId="30" borderId="1" xfId="0" applyFont="1" applyFill="1" applyBorder="1" applyAlignment="1" applyProtection="1">
      <alignment horizontal="left" vertical="center"/>
      <protection locked="0"/>
    </xf>
    <xf numFmtId="0" fontId="17" fillId="30" borderId="1" xfId="0" applyFont="1" applyFill="1" applyBorder="1" applyAlignment="1" applyProtection="1">
      <alignment vertical="center"/>
      <protection locked="0"/>
    </xf>
    <xf numFmtId="0" fontId="17" fillId="30" borderId="1" xfId="0" applyFont="1" applyFill="1" applyBorder="1" applyAlignment="1" applyProtection="1">
      <alignment horizontal="right" vertical="center"/>
      <protection locked="0"/>
    </xf>
    <xf numFmtId="0" fontId="17" fillId="30" borderId="1" xfId="0" applyFont="1" applyFill="1" applyBorder="1" applyAlignment="1" applyProtection="1">
      <alignment horizontal="center" vertical="center"/>
      <protection locked="0"/>
    </xf>
    <xf numFmtId="49" fontId="30" fillId="0" borderId="0" xfId="0" applyNumberFormat="1" applyFont="1" applyAlignment="1">
      <alignment horizontal="left" vertical="center" wrapText="1"/>
    </xf>
    <xf numFmtId="0" fontId="17" fillId="4" borderId="1" xfId="0" applyFont="1" applyFill="1" applyBorder="1" applyAlignment="1" applyProtection="1">
      <alignment vertical="center"/>
      <protection locked="0"/>
    </xf>
    <xf numFmtId="0" fontId="6" fillId="0" borderId="0" xfId="0" applyFont="1" applyAlignment="1">
      <alignment horizontal="right" vertical="center"/>
    </xf>
    <xf numFmtId="0" fontId="15" fillId="0" borderId="0" xfId="0" applyFont="1" applyAlignment="1">
      <alignment horizontal="right" vertical="center"/>
    </xf>
    <xf numFmtId="49" fontId="52" fillId="4" borderId="0" xfId="0" applyNumberFormat="1" applyFont="1" applyFill="1" applyAlignment="1">
      <alignment horizontal="left" vertical="center" wrapText="1"/>
    </xf>
    <xf numFmtId="49" fontId="30" fillId="4" borderId="0" xfId="0" applyNumberFormat="1" applyFont="1" applyFill="1" applyAlignment="1">
      <alignment horizontal="left" vertical="center" wrapText="1"/>
    </xf>
    <xf numFmtId="49" fontId="30" fillId="4" borderId="0" xfId="0" applyNumberFormat="1" applyFont="1" applyFill="1" applyAlignment="1">
      <alignment vertical="center" wrapText="1"/>
    </xf>
    <xf numFmtId="49" fontId="30" fillId="4" borderId="0" xfId="0" applyNumberFormat="1" applyFont="1" applyFill="1" applyAlignment="1">
      <alignment vertical="top" wrapText="1"/>
    </xf>
    <xf numFmtId="0" fontId="30" fillId="4" borderId="0" xfId="0" applyFont="1" applyFill="1" applyAlignment="1">
      <alignment vertical="top" wrapText="1"/>
    </xf>
    <xf numFmtId="49" fontId="9" fillId="4" borderId="0" xfId="0" applyNumberFormat="1" applyFont="1" applyFill="1" applyAlignment="1">
      <alignment horizontal="left" vertical="center" wrapText="1"/>
    </xf>
    <xf numFmtId="0" fontId="57" fillId="4" borderId="0" xfId="0" applyFont="1" applyFill="1" applyAlignment="1">
      <alignment vertical="center"/>
    </xf>
    <xf numFmtId="49" fontId="57" fillId="4" borderId="0" xfId="0" applyNumberFormat="1" applyFont="1" applyFill="1" applyAlignment="1">
      <alignment horizontal="left" vertical="center" wrapText="1"/>
    </xf>
    <xf numFmtId="0" fontId="57" fillId="0" borderId="0" xfId="0" applyFont="1" applyAlignment="1">
      <alignment vertical="center"/>
    </xf>
    <xf numFmtId="0" fontId="1" fillId="6" borderId="0" xfId="0" applyFont="1" applyFill="1" applyAlignment="1">
      <alignment vertical="center"/>
    </xf>
    <xf numFmtId="0" fontId="1" fillId="6" borderId="0" xfId="0" applyFont="1" applyFill="1" applyAlignment="1">
      <alignment horizontal="right" vertical="center"/>
    </xf>
    <xf numFmtId="0" fontId="4" fillId="6" borderId="0" xfId="0" applyFont="1" applyFill="1" applyAlignment="1">
      <alignment vertical="center"/>
    </xf>
    <xf numFmtId="0" fontId="5" fillId="6" borderId="0" xfId="0" applyFont="1" applyFill="1" applyAlignment="1">
      <alignment vertical="center"/>
    </xf>
    <xf numFmtId="0" fontId="5" fillId="6" borderId="0" xfId="0" applyFont="1" applyFill="1" applyAlignment="1">
      <alignment horizontal="right" vertical="center"/>
    </xf>
    <xf numFmtId="0" fontId="9" fillId="6" borderId="0" xfId="0" applyFont="1" applyFill="1" applyAlignment="1">
      <alignment vertical="center"/>
    </xf>
    <xf numFmtId="0" fontId="11" fillId="6" borderId="0" xfId="0" applyFont="1" applyFill="1" applyAlignment="1">
      <alignment vertical="center"/>
    </xf>
    <xf numFmtId="0" fontId="7" fillId="6" borderId="0" xfId="0" applyFont="1" applyFill="1" applyAlignment="1">
      <alignment vertical="center"/>
    </xf>
    <xf numFmtId="0" fontId="13" fillId="6" borderId="0" xfId="0" applyFont="1" applyFill="1" applyAlignment="1">
      <alignment vertical="center"/>
    </xf>
    <xf numFmtId="0" fontId="2" fillId="6" borderId="0" xfId="0" applyFont="1" applyFill="1" applyAlignment="1">
      <alignment vertical="center"/>
    </xf>
    <xf numFmtId="0" fontId="27" fillId="6" borderId="0" xfId="0" applyFont="1" applyFill="1" applyAlignment="1">
      <alignment vertical="center"/>
    </xf>
    <xf numFmtId="0" fontId="14" fillId="6" borderId="0" xfId="0" applyFont="1" applyFill="1" applyAlignment="1">
      <alignment vertical="center"/>
    </xf>
    <xf numFmtId="0" fontId="6" fillId="6" borderId="0" xfId="0" applyFont="1" applyFill="1" applyAlignment="1">
      <alignment vertical="center"/>
    </xf>
    <xf numFmtId="0" fontId="7" fillId="6" borderId="0" xfId="0" applyFont="1" applyFill="1" applyAlignment="1">
      <alignment horizontal="right" vertical="center"/>
    </xf>
    <xf numFmtId="0" fontId="6" fillId="6" borderId="0" xfId="0" applyFont="1" applyFill="1" applyAlignment="1">
      <alignment horizontal="right" vertical="center"/>
    </xf>
    <xf numFmtId="0" fontId="4" fillId="6" borderId="0" xfId="0" applyFont="1" applyFill="1"/>
    <xf numFmtId="0" fontId="12" fillId="6" borderId="0" xfId="0" applyFont="1" applyFill="1" applyAlignment="1">
      <alignment vertical="center"/>
    </xf>
    <xf numFmtId="0" fontId="2" fillId="6" borderId="0" xfId="0" applyFont="1" applyFill="1" applyAlignment="1">
      <alignment horizontal="right" vertical="center"/>
    </xf>
    <xf numFmtId="0" fontId="14" fillId="6" borderId="0" xfId="0" applyFont="1" applyFill="1" applyAlignment="1">
      <alignment horizontal="right" vertical="center"/>
    </xf>
    <xf numFmtId="0" fontId="13" fillId="6" borderId="0" xfId="0" applyFont="1" applyFill="1" applyAlignment="1">
      <alignment horizontal="right" vertical="center"/>
    </xf>
    <xf numFmtId="0" fontId="12" fillId="6" borderId="0" xfId="0" applyFont="1" applyFill="1" applyAlignment="1">
      <alignment horizontal="right" vertical="center"/>
    </xf>
    <xf numFmtId="0" fontId="15" fillId="6" borderId="0" xfId="0" applyFont="1" applyFill="1" applyAlignment="1">
      <alignment vertical="center"/>
    </xf>
    <xf numFmtId="0" fontId="4" fillId="6" borderId="0" xfId="0" applyFont="1" applyFill="1" applyAlignment="1">
      <alignment horizontal="center" vertical="center"/>
    </xf>
    <xf numFmtId="0" fontId="6" fillId="6" borderId="0" xfId="0" applyFont="1" applyFill="1" applyAlignment="1">
      <alignment horizontal="center" vertical="center"/>
    </xf>
    <xf numFmtId="0" fontId="15" fillId="6" borderId="0" xfId="0" applyFont="1" applyFill="1" applyAlignment="1">
      <alignment horizontal="right" vertical="center"/>
    </xf>
    <xf numFmtId="49" fontId="6" fillId="6" borderId="0" xfId="0" applyNumberFormat="1" applyFont="1" applyFill="1" applyAlignment="1">
      <alignment horizontal="left" vertical="center"/>
    </xf>
    <xf numFmtId="0" fontId="6" fillId="6" borderId="0" xfId="0" applyFont="1" applyFill="1" applyAlignment="1">
      <alignment horizontal="left" vertical="center"/>
    </xf>
    <xf numFmtId="0" fontId="4" fillId="6" borderId="0" xfId="0" applyFont="1" applyFill="1" applyAlignment="1">
      <alignment horizontal="right" vertical="center"/>
    </xf>
    <xf numFmtId="8" fontId="8" fillId="6" borderId="0" xfId="0" applyNumberFormat="1" applyFont="1" applyFill="1" applyAlignment="1">
      <alignment horizontal="left" vertical="center"/>
    </xf>
    <xf numFmtId="0" fontId="4" fillId="6" borderId="0" xfId="0" applyFont="1" applyFill="1" applyAlignment="1">
      <alignment horizontal="left" vertical="center"/>
    </xf>
    <xf numFmtId="164" fontId="8" fillId="6" borderId="0" xfId="0" applyNumberFormat="1" applyFont="1" applyFill="1" applyAlignment="1">
      <alignment horizontal="right" vertical="center"/>
    </xf>
    <xf numFmtId="8" fontId="9" fillId="6" borderId="1" xfId="0" applyNumberFormat="1" applyFont="1" applyFill="1" applyBorder="1" applyAlignment="1">
      <alignment horizontal="right" vertical="center"/>
    </xf>
    <xf numFmtId="0" fontId="26" fillId="6" borderId="0" xfId="0" applyFont="1" applyFill="1" applyAlignment="1">
      <alignment vertical="center"/>
    </xf>
    <xf numFmtId="0" fontId="16" fillId="6" borderId="0" xfId="0" applyFont="1" applyFill="1" applyAlignment="1">
      <alignment vertical="center"/>
    </xf>
    <xf numFmtId="0" fontId="15" fillId="6" borderId="0" xfId="0" applyFont="1" applyFill="1" applyAlignment="1">
      <alignment horizontal="center" vertical="center"/>
    </xf>
    <xf numFmtId="0" fontId="27" fillId="6" borderId="0" xfId="0" applyFont="1" applyFill="1" applyAlignment="1">
      <alignment horizontal="right" vertical="center"/>
    </xf>
    <xf numFmtId="164" fontId="28" fillId="6" borderId="0" xfId="0" applyNumberFormat="1" applyFont="1" applyFill="1" applyAlignment="1">
      <alignment horizontal="right" vertical="center"/>
    </xf>
    <xf numFmtId="8" fontId="8" fillId="6" borderId="1" xfId="0" applyNumberFormat="1" applyFont="1" applyFill="1" applyBorder="1" applyAlignment="1">
      <alignment horizontal="right" vertical="center"/>
    </xf>
    <xf numFmtId="8" fontId="28" fillId="6" borderId="0" xfId="0" applyNumberFormat="1" applyFont="1" applyFill="1" applyAlignment="1">
      <alignment horizontal="right" vertical="center"/>
    </xf>
    <xf numFmtId="0" fontId="14" fillId="6" borderId="0" xfId="0" applyFont="1" applyFill="1" applyAlignment="1">
      <alignment horizontal="left" vertical="center"/>
    </xf>
    <xf numFmtId="0" fontId="17" fillId="6" borderId="0" xfId="0" applyFont="1" applyFill="1" applyAlignment="1">
      <alignment horizontal="left" vertical="center" wrapText="1"/>
    </xf>
    <xf numFmtId="49" fontId="29" fillId="4" borderId="0" xfId="0" applyNumberFormat="1" applyFont="1" applyFill="1" applyAlignment="1">
      <alignment vertical="center" wrapText="1"/>
    </xf>
    <xf numFmtId="0" fontId="15" fillId="6" borderId="0" xfId="0" quotePrefix="1" applyFont="1" applyFill="1" applyAlignment="1">
      <alignment vertical="center"/>
    </xf>
    <xf numFmtId="0" fontId="58" fillId="4" borderId="0" xfId="0" applyFont="1" applyFill="1" applyAlignment="1">
      <alignment vertical="center" wrapText="1"/>
    </xf>
    <xf numFmtId="0" fontId="6" fillId="6" borderId="0" xfId="0" applyFont="1" applyFill="1" applyAlignment="1">
      <alignment horizontal="right"/>
    </xf>
    <xf numFmtId="49" fontId="29" fillId="4" borderId="0" xfId="0" applyNumberFormat="1" applyFont="1" applyFill="1" applyAlignment="1">
      <alignment horizontal="left" vertical="center" wrapText="1"/>
    </xf>
    <xf numFmtId="8" fontId="28" fillId="0" borderId="0" xfId="0" applyNumberFormat="1" applyFont="1" applyAlignment="1">
      <alignment horizontal="right" vertical="center"/>
    </xf>
    <xf numFmtId="0" fontId="14" fillId="0" borderId="13" xfId="0" applyFont="1" applyBorder="1" applyAlignment="1">
      <alignment vertical="center"/>
    </xf>
    <xf numFmtId="0" fontId="9" fillId="29" borderId="17" xfId="0" applyFont="1" applyFill="1" applyBorder="1" applyAlignment="1">
      <alignment vertical="center"/>
    </xf>
    <xf numFmtId="0" fontId="29" fillId="4" borderId="0" xfId="0" applyFont="1" applyFill="1" applyAlignment="1">
      <alignment horizontal="left" vertical="center" wrapText="1"/>
    </xf>
    <xf numFmtId="0" fontId="17" fillId="4" borderId="13" xfId="0" applyFont="1" applyFill="1" applyBorder="1" applyAlignment="1" applyProtection="1">
      <alignment horizontal="right" vertical="center"/>
      <protection locked="0" hidden="1"/>
    </xf>
    <xf numFmtId="1" fontId="17" fillId="4" borderId="1"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protection locked="0"/>
    </xf>
    <xf numFmtId="0" fontId="21" fillId="0" borderId="0" xfId="0" applyFont="1" applyAlignment="1">
      <alignment horizontal="center" vertical="center"/>
    </xf>
    <xf numFmtId="0" fontId="6" fillId="6" borderId="0" xfId="0" applyFont="1" applyFill="1" applyAlignment="1">
      <alignment horizontal="right" vertical="center"/>
    </xf>
    <xf numFmtId="0" fontId="17" fillId="30" borderId="1" xfId="0" applyFont="1" applyFill="1" applyBorder="1" applyAlignment="1" applyProtection="1">
      <alignment horizontal="left" vertical="center"/>
      <protection locked="0"/>
    </xf>
    <xf numFmtId="0" fontId="4" fillId="6" borderId="0" xfId="0" applyFont="1" applyFill="1" applyAlignment="1">
      <alignment horizontal="left" vertical="center"/>
    </xf>
    <xf numFmtId="0" fontId="17" fillId="4" borderId="1" xfId="0" applyFont="1" applyFill="1" applyBorder="1" applyAlignment="1" applyProtection="1">
      <alignment vertical="center"/>
      <protection locked="0"/>
    </xf>
    <xf numFmtId="0" fontId="6" fillId="6" borderId="0" xfId="0" applyFont="1" applyFill="1" applyAlignment="1">
      <alignment vertical="center"/>
    </xf>
    <xf numFmtId="0" fontId="6" fillId="6" borderId="0" xfId="0" applyFont="1" applyFill="1" applyAlignment="1">
      <alignment horizontal="left" vertical="center"/>
    </xf>
    <xf numFmtId="0" fontId="17" fillId="4" borderId="1" xfId="0" applyFont="1" applyFill="1" applyBorder="1" applyAlignment="1" applyProtection="1">
      <alignment horizontal="left" vertical="center"/>
      <protection locked="0"/>
    </xf>
    <xf numFmtId="49" fontId="30" fillId="4" borderId="0" xfId="0" applyNumberFormat="1" applyFont="1" applyFill="1" applyAlignment="1">
      <alignment horizontal="left" vertical="center" wrapText="1"/>
    </xf>
    <xf numFmtId="49" fontId="29" fillId="4" borderId="0" xfId="0" applyNumberFormat="1" applyFont="1" applyFill="1" applyAlignment="1">
      <alignment vertical="center" wrapText="1"/>
    </xf>
    <xf numFmtId="49" fontId="30" fillId="4" borderId="0" xfId="0" applyNumberFormat="1" applyFont="1" applyFill="1" applyAlignment="1">
      <alignment vertical="center" wrapText="1"/>
    </xf>
    <xf numFmtId="0" fontId="3" fillId="2" borderId="0" xfId="0" applyFont="1" applyFill="1" applyAlignment="1">
      <alignment vertical="center" wrapText="1"/>
    </xf>
    <xf numFmtId="0" fontId="57" fillId="4" borderId="0" xfId="0" applyFont="1" applyFill="1" applyAlignment="1">
      <alignment vertical="top" wrapText="1"/>
    </xf>
    <xf numFmtId="165" fontId="15" fillId="0" borderId="16" xfId="0" applyNumberFormat="1" applyFont="1" applyBorder="1" applyAlignment="1">
      <alignment horizontal="right" vertical="center"/>
    </xf>
    <xf numFmtId="0" fontId="26" fillId="0" borderId="16" xfId="0" applyFont="1" applyBorder="1" applyAlignment="1">
      <alignment horizontal="right" vertical="center"/>
    </xf>
    <xf numFmtId="0" fontId="30" fillId="4" borderId="0" xfId="0" applyFont="1" applyFill="1" applyAlignment="1">
      <alignment horizontal="left" vertical="top" wrapText="1"/>
    </xf>
    <xf numFmtId="0" fontId="30" fillId="4" borderId="0" xfId="0" applyFont="1" applyFill="1" applyAlignment="1">
      <alignment vertical="center" wrapText="1"/>
    </xf>
    <xf numFmtId="0" fontId="15" fillId="6" borderId="0" xfId="0" applyFont="1" applyFill="1" applyAlignment="1">
      <alignment horizontal="right" vertical="center"/>
    </xf>
    <xf numFmtId="49" fontId="30" fillId="4" borderId="0" xfId="0" applyNumberFormat="1" applyFont="1" applyFill="1" applyAlignment="1">
      <alignment vertical="top" wrapText="1"/>
    </xf>
    <xf numFmtId="0" fontId="15" fillId="0" borderId="16" xfId="0" applyFont="1" applyBorder="1" applyAlignment="1">
      <alignment horizontal="right" vertical="center"/>
    </xf>
    <xf numFmtId="49" fontId="29" fillId="4" borderId="0" xfId="0" applyNumberFormat="1" applyFont="1" applyFill="1" applyAlignment="1">
      <alignment vertical="top" wrapText="1"/>
    </xf>
    <xf numFmtId="0" fontId="58" fillId="4" borderId="0" xfId="0" applyFont="1" applyFill="1" applyAlignment="1">
      <alignment horizontal="left" vertical="center" wrapText="1"/>
    </xf>
    <xf numFmtId="0" fontId="17" fillId="4" borderId="0" xfId="0" applyFont="1" applyFill="1" applyAlignment="1" applyProtection="1">
      <alignment horizontal="left" vertical="center" wrapText="1"/>
      <protection locked="0"/>
    </xf>
    <xf numFmtId="0" fontId="17" fillId="4" borderId="1" xfId="0" applyFont="1" applyFill="1" applyBorder="1" applyAlignment="1" applyProtection="1">
      <alignment horizontal="left" vertical="center" wrapText="1"/>
      <protection locked="0"/>
    </xf>
    <xf numFmtId="0" fontId="18" fillId="2" borderId="0" xfId="0" applyFont="1" applyFill="1" applyAlignment="1">
      <alignment vertical="center"/>
    </xf>
    <xf numFmtId="0" fontId="20" fillId="0" borderId="15" xfId="0" applyFont="1" applyBorder="1" applyAlignment="1">
      <alignment horizontal="left" vertical="center"/>
    </xf>
    <xf numFmtId="0" fontId="20" fillId="0" borderId="13" xfId="0" applyFont="1" applyBorder="1" applyAlignment="1">
      <alignment horizontal="left" vertical="center"/>
    </xf>
  </cellXfs>
  <cellStyles count="49">
    <cellStyle name="20 % - Akzent1 2" xfId="3" xr:uid="{00000000-0005-0000-0000-000000000000}"/>
    <cellStyle name="20 % - Akzent2 2" xfId="4" xr:uid="{00000000-0005-0000-0000-000001000000}"/>
    <cellStyle name="20 % - Akzent3 2" xfId="5" xr:uid="{00000000-0005-0000-0000-000002000000}"/>
    <cellStyle name="20 % - Akzent4 2" xfId="6" xr:uid="{00000000-0005-0000-0000-000003000000}"/>
    <cellStyle name="20 % - Akzent5 2" xfId="7" xr:uid="{00000000-0005-0000-0000-000004000000}"/>
    <cellStyle name="20 % - Akzent6 2" xfId="8" xr:uid="{00000000-0005-0000-0000-000005000000}"/>
    <cellStyle name="40 % - Akzent1 2" xfId="9" xr:uid="{00000000-0005-0000-0000-000006000000}"/>
    <cellStyle name="40 % - Akzent2 2" xfId="10" xr:uid="{00000000-0005-0000-0000-000007000000}"/>
    <cellStyle name="40 % - Akzent3 2" xfId="11" xr:uid="{00000000-0005-0000-0000-000008000000}"/>
    <cellStyle name="40 % - Akzent4 2" xfId="12" xr:uid="{00000000-0005-0000-0000-000009000000}"/>
    <cellStyle name="40 % - Akzent5 2" xfId="13" xr:uid="{00000000-0005-0000-0000-00000A000000}"/>
    <cellStyle name="40 % - Akzent6 2" xfId="14" xr:uid="{00000000-0005-0000-0000-00000B000000}"/>
    <cellStyle name="60 % - Akzent1 2" xfId="15" xr:uid="{00000000-0005-0000-0000-00000C000000}"/>
    <cellStyle name="60 % - Akzent2 2" xfId="16" xr:uid="{00000000-0005-0000-0000-00000D000000}"/>
    <cellStyle name="60 % - Akzent3 2" xfId="17" xr:uid="{00000000-0005-0000-0000-00000E000000}"/>
    <cellStyle name="60 % - Akzent4 2" xfId="18" xr:uid="{00000000-0005-0000-0000-00000F000000}"/>
    <cellStyle name="60 % - Akzent5 2" xfId="19" xr:uid="{00000000-0005-0000-0000-000010000000}"/>
    <cellStyle name="60 % - Akzent6 2" xfId="20" xr:uid="{00000000-0005-0000-0000-000011000000}"/>
    <cellStyle name="Akzent1 2" xfId="21" xr:uid="{00000000-0005-0000-0000-000012000000}"/>
    <cellStyle name="Akzent2 2" xfId="22" xr:uid="{00000000-0005-0000-0000-000013000000}"/>
    <cellStyle name="Akzent3 2" xfId="23" xr:uid="{00000000-0005-0000-0000-000014000000}"/>
    <cellStyle name="Akzent4 2" xfId="24" xr:uid="{00000000-0005-0000-0000-000015000000}"/>
    <cellStyle name="Akzent5 2" xfId="25" xr:uid="{00000000-0005-0000-0000-000016000000}"/>
    <cellStyle name="Akzent6 2" xfId="26" xr:uid="{00000000-0005-0000-0000-000017000000}"/>
    <cellStyle name="Ausgabe 2" xfId="27" xr:uid="{00000000-0005-0000-0000-000018000000}"/>
    <cellStyle name="Berechnung 2" xfId="28" xr:uid="{00000000-0005-0000-0000-000019000000}"/>
    <cellStyle name="Eingabe 2" xfId="29" xr:uid="{00000000-0005-0000-0000-00001A000000}"/>
    <cellStyle name="Ergebnis 2" xfId="30" xr:uid="{00000000-0005-0000-0000-00001B000000}"/>
    <cellStyle name="Erklärender Text 2" xfId="31" xr:uid="{00000000-0005-0000-0000-00001C000000}"/>
    <cellStyle name="Euro" xfId="32" xr:uid="{00000000-0005-0000-0000-00001D000000}"/>
    <cellStyle name="Gut 2" xfId="33" xr:uid="{00000000-0005-0000-0000-00001E000000}"/>
    <cellStyle name="Hyperlink 2" xfId="34" xr:uid="{00000000-0005-0000-0000-000020000000}"/>
    <cellStyle name="Link" xfId="1" builtinId="8"/>
    <cellStyle name="Neutral 2" xfId="35" xr:uid="{00000000-0005-0000-0000-000021000000}"/>
    <cellStyle name="Notiz 2" xfId="36" xr:uid="{00000000-0005-0000-0000-000022000000}"/>
    <cellStyle name="Schlecht 2" xfId="37" xr:uid="{00000000-0005-0000-0000-000023000000}"/>
    <cellStyle name="Standard" xfId="0" builtinId="0"/>
    <cellStyle name="Standard 2" xfId="38" xr:uid="{00000000-0005-0000-0000-000025000000}"/>
    <cellStyle name="Standard 3" xfId="2" xr:uid="{00000000-0005-0000-0000-000026000000}"/>
    <cellStyle name="Standard_Neue Version AK Heranziehung" xfId="39" xr:uid="{00000000-0005-0000-0000-000027000000}"/>
    <cellStyle name="Überschrift 1 2" xfId="41" xr:uid="{00000000-0005-0000-0000-000028000000}"/>
    <cellStyle name="Überschrift 2 2" xfId="42" xr:uid="{00000000-0005-0000-0000-000029000000}"/>
    <cellStyle name="Überschrift 3 2" xfId="43" xr:uid="{00000000-0005-0000-0000-00002A000000}"/>
    <cellStyle name="Überschrift 4 2" xfId="44" xr:uid="{00000000-0005-0000-0000-00002B000000}"/>
    <cellStyle name="Überschrift 5" xfId="40" xr:uid="{00000000-0005-0000-0000-00002C000000}"/>
    <cellStyle name="Verknüpfte Zelle 2" xfId="45" xr:uid="{00000000-0005-0000-0000-00002D000000}"/>
    <cellStyle name="Währung 2" xfId="46" xr:uid="{00000000-0005-0000-0000-00002E000000}"/>
    <cellStyle name="Warnender Text 2" xfId="47" xr:uid="{00000000-0005-0000-0000-00002F000000}"/>
    <cellStyle name="Zelle überprüfen 2" xfId="48" xr:uid="{00000000-0005-0000-0000-000030000000}"/>
  </cellStyles>
  <dxfs count="34">
    <dxf>
      <font>
        <color rgb="FFC00000"/>
      </font>
    </dxf>
    <dxf>
      <border>
        <left style="thin">
          <color rgb="FFFF0000"/>
        </left>
        <right style="thin">
          <color rgb="FFFF0000"/>
        </right>
        <top style="thin">
          <color rgb="FFFF0000"/>
        </top>
        <bottom style="thin">
          <color rgb="FFFF0000"/>
        </bottom>
        <vertical/>
        <horizontal/>
      </border>
    </dxf>
    <dxf>
      <font>
        <color rgb="FFC00000"/>
      </font>
    </dxf>
    <dxf>
      <border>
        <left style="thin">
          <color rgb="FFFF0000"/>
        </left>
        <right style="thin">
          <color rgb="FFFF0000"/>
        </right>
        <top style="thin">
          <color rgb="FFFF0000"/>
        </top>
        <bottom style="thin">
          <color rgb="FFFF0000"/>
        </bottom>
        <vertical/>
        <horizontal/>
      </border>
    </dxf>
    <dxf>
      <font>
        <color rgb="FFC00000"/>
      </font>
    </dxf>
    <dxf>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rgb="FFC00000"/>
      </font>
    </dxf>
    <dxf>
      <font>
        <color rgb="FFC00000"/>
      </font>
    </dxf>
    <dxf>
      <border>
        <left style="thin">
          <color rgb="FFFF0000"/>
        </left>
        <right style="thin">
          <color rgb="FFFF0000"/>
        </right>
        <top style="thin">
          <color rgb="FFFF0000"/>
        </top>
        <bottom style="thin">
          <color rgb="FFFF0000"/>
        </bottom>
        <vertical/>
        <horizontal/>
      </border>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C00000"/>
      </font>
    </dxf>
    <dxf>
      <border>
        <left style="thin">
          <color rgb="FFFF0000"/>
        </left>
        <right style="thin">
          <color rgb="FFFF0000"/>
        </right>
        <top style="thin">
          <color rgb="FFFF0000"/>
        </top>
        <bottom style="thin">
          <color rgb="FFFF0000"/>
        </bottom>
        <vertical/>
        <horizontal/>
      </border>
    </dxf>
    <dxf>
      <font>
        <color rgb="FFC00000"/>
      </font>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b val="0"/>
        <i val="0"/>
        <color theme="4"/>
      </font>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309"/>
  <sheetViews>
    <sheetView showGridLines="0" showRowColHeaders="0" tabSelected="1" zoomScaleNormal="100" workbookViewId="0">
      <pane xSplit="8" ySplit="2" topLeftCell="I3" activePane="bottomRight" state="frozenSplit"/>
      <selection pane="topRight" activeCell="I1" sqref="I1"/>
      <selection pane="bottomLeft" activeCell="A3" sqref="A3"/>
      <selection pane="bottomRight" activeCell="A5" sqref="A5"/>
    </sheetView>
  </sheetViews>
  <sheetFormatPr baseColWidth="10" defaultColWidth="11.44140625" defaultRowHeight="13.2" x14ac:dyDescent="0.3"/>
  <cols>
    <col min="1" max="1" width="50.33203125" style="54" customWidth="1"/>
    <col min="2" max="2" width="6.6640625" style="54" customWidth="1"/>
    <col min="3" max="3" width="24.6640625" style="54" customWidth="1"/>
    <col min="4" max="4" width="4.6640625" style="56" customWidth="1"/>
    <col min="5" max="5" width="24.6640625" style="54" customWidth="1"/>
    <col min="6" max="6" width="4.6640625" style="56" customWidth="1"/>
    <col min="7" max="7" width="24.6640625" style="54" customWidth="1"/>
    <col min="8" max="8" width="4.6640625" style="54" customWidth="1"/>
    <col min="9" max="9" width="32.88671875" style="92" bestFit="1" customWidth="1"/>
    <col min="10" max="10" width="87.88671875" style="80" customWidth="1"/>
    <col min="11" max="16384" width="11.44140625" style="54"/>
  </cols>
  <sheetData>
    <row r="1" spans="1:10" ht="26.1" customHeight="1" x14ac:dyDescent="0.3">
      <c r="A1" s="49" t="s">
        <v>76</v>
      </c>
      <c r="B1" s="50" t="s">
        <v>75</v>
      </c>
      <c r="C1" s="49"/>
      <c r="D1" s="51"/>
      <c r="E1" s="52">
        <v>45201</v>
      </c>
      <c r="F1" s="51"/>
      <c r="G1" s="53">
        <v>44562</v>
      </c>
      <c r="H1" s="93"/>
      <c r="I1" s="84" t="s">
        <v>125</v>
      </c>
      <c r="J1" s="84" t="s">
        <v>78</v>
      </c>
    </row>
    <row r="2" spans="1:10" ht="51.9" customHeight="1" x14ac:dyDescent="0.3">
      <c r="A2" s="157" t="s">
        <v>74</v>
      </c>
      <c r="B2" s="157"/>
      <c r="C2" s="157"/>
      <c r="D2" s="157"/>
      <c r="E2" s="157"/>
      <c r="F2" s="157"/>
      <c r="G2" s="157"/>
      <c r="H2" s="93"/>
      <c r="I2" s="90"/>
      <c r="J2" s="142"/>
    </row>
    <row r="3" spans="1:10" ht="14.1" customHeight="1" x14ac:dyDescent="0.3">
      <c r="A3" s="93"/>
      <c r="B3" s="93"/>
      <c r="C3" s="93"/>
      <c r="D3" s="94"/>
      <c r="E3" s="93"/>
      <c r="F3" s="94"/>
      <c r="G3" s="93"/>
      <c r="H3" s="94"/>
      <c r="I3" s="90"/>
      <c r="J3" s="155" t="s">
        <v>127</v>
      </c>
    </row>
    <row r="4" spans="1:10" s="57" customFormat="1" ht="20.100000000000001" customHeight="1" x14ac:dyDescent="0.3">
      <c r="A4" s="95" t="s">
        <v>0</v>
      </c>
      <c r="B4" s="95"/>
      <c r="C4" s="95" t="s">
        <v>57</v>
      </c>
      <c r="D4" s="96"/>
      <c r="E4" s="95" t="s">
        <v>54</v>
      </c>
      <c r="F4" s="97"/>
      <c r="G4" s="95" t="s">
        <v>55</v>
      </c>
      <c r="H4" s="96"/>
      <c r="I4" s="90"/>
      <c r="J4" s="156"/>
    </row>
    <row r="5" spans="1:10" s="44" customFormat="1" ht="20.100000000000001" customHeight="1" x14ac:dyDescent="0.3">
      <c r="A5" s="81"/>
      <c r="C5" s="73"/>
      <c r="E5" s="75"/>
      <c r="F5" s="58"/>
      <c r="G5" s="75"/>
      <c r="H5" s="98"/>
      <c r="I5" s="158" t="str">
        <f>IF(Berechnungsbeginn="","Von-Datum erfassen!",IF(AND(Berechnungsende&gt;0,Berechnungsende&lt;Berechnungsbeginn)=TRUE,"bis &lt; von !",IF(Berechnungsbeginn&gt;=EDATE(GeburtsdatumJM,18*12),"'Kostenbeitrag von' liegt nach Volljährigkeit, falsche Vorlage!","")))</f>
        <v>Von-Datum erfassen!</v>
      </c>
      <c r="J5" s="156"/>
    </row>
    <row r="6" spans="1:10" ht="12" customHeight="1" x14ac:dyDescent="0.3">
      <c r="A6" s="93"/>
      <c r="B6" s="93"/>
      <c r="C6" s="93"/>
      <c r="D6" s="94"/>
      <c r="E6" s="93"/>
      <c r="F6" s="94"/>
      <c r="G6" s="93"/>
      <c r="H6" s="93"/>
      <c r="I6" s="158"/>
      <c r="J6" s="156"/>
    </row>
    <row r="7" spans="1:10" s="57" customFormat="1" ht="20.100000000000001" customHeight="1" x14ac:dyDescent="0.3">
      <c r="A7" s="95" t="s">
        <v>2</v>
      </c>
      <c r="B7" s="95"/>
      <c r="C7" s="95" t="s">
        <v>1</v>
      </c>
      <c r="D7" s="96"/>
      <c r="E7" s="149" t="s">
        <v>3</v>
      </c>
      <c r="F7" s="149"/>
      <c r="G7" s="149"/>
      <c r="H7" s="96"/>
      <c r="I7" s="90"/>
      <c r="J7" s="154" t="s">
        <v>77</v>
      </c>
    </row>
    <row r="8" spans="1:10" s="44" customFormat="1" ht="20.100000000000001" customHeight="1" x14ac:dyDescent="0.3">
      <c r="A8" s="81"/>
      <c r="C8" s="75"/>
      <c r="E8" s="150"/>
      <c r="F8" s="150"/>
      <c r="G8" s="150"/>
      <c r="H8" s="98"/>
      <c r="I8" s="90" t="str">
        <f>IF(GeburtsdatumJM="","Geburtsdatum erfassen!",IF(AND(Berechnungsbeginn&lt;&gt;"",GeburtsdatumJM&gt;Berechnungsbeginn)=TRUE,"'Kostenbeitrag von' liegt vor Geburt !",""))</f>
        <v>Geburtsdatum erfassen!</v>
      </c>
      <c r="J8" s="154"/>
    </row>
    <row r="9" spans="1:10" ht="12" customHeight="1" x14ac:dyDescent="0.3">
      <c r="A9" s="93"/>
      <c r="B9" s="93"/>
      <c r="C9" s="93"/>
      <c r="D9" s="94"/>
      <c r="E9" s="93"/>
      <c r="F9" s="94"/>
      <c r="G9" s="93"/>
      <c r="H9" s="93"/>
      <c r="I9" s="90"/>
      <c r="J9" s="86"/>
    </row>
    <row r="10" spans="1:10" s="57" customFormat="1" ht="20.100000000000001" customHeight="1" x14ac:dyDescent="0.3">
      <c r="A10" s="95" t="s">
        <v>4</v>
      </c>
      <c r="B10" s="95"/>
      <c r="C10" s="95" t="s">
        <v>8</v>
      </c>
      <c r="D10" s="96"/>
      <c r="E10" s="95" t="s">
        <v>9</v>
      </c>
      <c r="F10" s="97"/>
      <c r="G10" s="95" t="s">
        <v>58</v>
      </c>
      <c r="H10" s="96"/>
      <c r="I10" s="90"/>
      <c r="J10" s="155" t="s">
        <v>126</v>
      </c>
    </row>
    <row r="11" spans="1:10" s="44" customFormat="1" ht="20.100000000000001" customHeight="1" x14ac:dyDescent="0.3">
      <c r="A11" s="77" t="s">
        <v>52</v>
      </c>
      <c r="C11" s="75" t="str">
        <f>IF(AuswahlEinkommensjahr=0,"",IFERROR(DATE(AuswahlEinkommensjahr,1,1),"Bitte Eingabe!"))</f>
        <v/>
      </c>
      <c r="E11" s="75" t="str">
        <f>IF(AuswahlEinkommensjahr=0,"",IFERROR(DATE(AuswahlEinkommensjahr,12,31),"Bitte Eingabe!"))</f>
        <v/>
      </c>
      <c r="F11" s="58"/>
      <c r="G11" s="76" t="str">
        <f>IF(AuswahlEinkommensjahr=0,"",IFERROR(DATEDIF(EinkommenVon,EinkommenBis,"m")+1,0))</f>
        <v/>
      </c>
      <c r="H11" s="98"/>
      <c r="I11" s="90" t="str">
        <f>IF(AuswahlEinkommensjahr=0,"Einkommenszeitraum wählen!",IF(OR(EinkommenVon&gt;EinkommenBis,EinkommenVon="Bitte Eingabe!",EinkommenBis="Bitte Eingabe!",Einkommensmonate=0)=TRUE,"Einkommenszeitraum/Monate prüfen !",""))</f>
        <v>Einkommenszeitraum wählen!</v>
      </c>
      <c r="J11" s="156"/>
    </row>
    <row r="12" spans="1:10" ht="14.1" customHeight="1" x14ac:dyDescent="0.3">
      <c r="A12" s="93"/>
      <c r="B12" s="93"/>
      <c r="C12" s="95"/>
      <c r="D12" s="94"/>
      <c r="E12" s="93"/>
      <c r="F12" s="94"/>
      <c r="G12" s="93"/>
      <c r="H12" s="93"/>
      <c r="I12" s="90"/>
      <c r="J12" s="156"/>
    </row>
    <row r="13" spans="1:10" s="61" customFormat="1" ht="21.9" customHeight="1" x14ac:dyDescent="0.3">
      <c r="A13" s="59" t="s">
        <v>47</v>
      </c>
      <c r="B13" s="59"/>
      <c r="C13" s="59"/>
      <c r="D13" s="60"/>
      <c r="E13" s="59"/>
      <c r="F13" s="60"/>
      <c r="G13" s="59"/>
      <c r="H13" s="99"/>
      <c r="I13" s="90"/>
      <c r="J13" s="86"/>
    </row>
    <row r="14" spans="1:10" ht="8.1" customHeight="1" x14ac:dyDescent="0.3">
      <c r="A14" s="93"/>
      <c r="B14" s="93"/>
      <c r="C14" s="93"/>
      <c r="D14" s="94"/>
      <c r="E14" s="93"/>
      <c r="F14" s="94"/>
      <c r="G14" s="93"/>
      <c r="H14" s="93"/>
      <c r="I14" s="90"/>
      <c r="J14" s="85"/>
    </row>
    <row r="15" spans="1:10" s="55" customFormat="1" ht="14.1" customHeight="1" x14ac:dyDescent="0.3">
      <c r="A15" s="95"/>
      <c r="B15" s="105"/>
      <c r="C15" s="100"/>
      <c r="D15" s="106"/>
      <c r="E15" s="107" t="s">
        <v>45</v>
      </c>
      <c r="F15" s="106"/>
      <c r="G15" s="100"/>
      <c r="H15" s="100"/>
      <c r="I15" s="90"/>
      <c r="J15" s="87" t="s">
        <v>97</v>
      </c>
    </row>
    <row r="16" spans="1:10" s="62" customFormat="1" ht="20.100000000000001" customHeight="1" x14ac:dyDescent="0.3">
      <c r="A16" s="108" t="str">
        <f>IF(AuswahlBetragsartEinkommenNST=1,"Jährliche Einkünfte und Abzüge","Monatliche Nettoeinkünfte")</f>
        <v>Monatliche Nettoeinkünfte</v>
      </c>
      <c r="B16" s="109"/>
      <c r="C16" s="151" t="s">
        <v>28</v>
      </c>
      <c r="D16" s="110"/>
      <c r="E16" s="78" t="s">
        <v>52</v>
      </c>
      <c r="F16" s="112"/>
      <c r="G16" s="113"/>
      <c r="H16" s="101"/>
      <c r="I16" s="90" t="str">
        <f>IF(OR(AuswahlBetragsartEinkommenNST&lt;1,AuswahlBetragsartEinkommenNST&gt;2)=TRUE,"Betragsart wählen!","")</f>
        <v>Betragsart wählen!</v>
      </c>
      <c r="J16" s="87"/>
    </row>
    <row r="17" spans="1:10" s="55" customFormat="1" ht="8.1" customHeight="1" x14ac:dyDescent="0.3">
      <c r="A17" s="105"/>
      <c r="B17" s="105"/>
      <c r="C17" s="151"/>
      <c r="D17" s="111"/>
      <c r="E17" s="107"/>
      <c r="F17" s="107"/>
      <c r="G17" s="100"/>
      <c r="H17" s="100"/>
      <c r="I17" s="90"/>
      <c r="J17" s="87"/>
    </row>
    <row r="18" spans="1:10" s="57" customFormat="1" ht="20.100000000000001" customHeight="1" x14ac:dyDescent="0.3">
      <c r="A18" s="114" t="str">
        <f>IF(AuswahlBetragsartEinkommenNST=0,"",IF(AuswahlBetragsartEinkommenNST=1,Auswahlwerte!D11,Auswahlwerte!E11))</f>
        <v/>
      </c>
      <c r="B18" s="115"/>
      <c r="C18" s="81"/>
      <c r="D18" s="117"/>
      <c r="E18" s="74"/>
      <c r="F18" s="120"/>
      <c r="G18" s="121"/>
      <c r="H18" s="96"/>
      <c r="I18" s="90"/>
      <c r="J18" s="88" t="str">
        <f>IF(AuswahlBetragsartEinkommenNST=0,"Wählen Sie unbedingt die Betragsart aus!",IF(AuswahlBetragsartEinkommenNST=1,"Geben Sie das jährliche Bruttoerwerbseinkommen ein.","Geben Sie das Nettoeinkommen des jeweils angezeigten Monats ein."))</f>
        <v>Wählen Sie unbedingt die Betragsart aus!</v>
      </c>
    </row>
    <row r="19" spans="1:10" s="55" customFormat="1" ht="6" customHeight="1" x14ac:dyDescent="0.3">
      <c r="A19" s="105"/>
      <c r="B19" s="116"/>
      <c r="C19" s="66"/>
      <c r="D19" s="110"/>
      <c r="E19" s="82"/>
      <c r="F19" s="107"/>
      <c r="G19" s="119"/>
      <c r="H19" s="100"/>
      <c r="I19" s="90"/>
      <c r="J19" s="88"/>
    </row>
    <row r="20" spans="1:10" s="57" customFormat="1" ht="20.100000000000001" customHeight="1" x14ac:dyDescent="0.3">
      <c r="A20" s="114" t="str">
        <f>IF(AuswahlBetragsartEinkommenNST=0,"",IF(AuswahlBetragsartEinkommenNST=1,Auswahlwerte!D12,Auswahlwerte!E12))</f>
        <v/>
      </c>
      <c r="B20" s="115"/>
      <c r="C20" s="81"/>
      <c r="D20" s="117" t="s">
        <v>31</v>
      </c>
      <c r="E20" s="74"/>
      <c r="F20" s="120"/>
      <c r="G20" s="121"/>
      <c r="H20" s="96"/>
      <c r="I20" s="90"/>
      <c r="J20" s="88"/>
    </row>
    <row r="21" spans="1:10" s="57" customFormat="1" ht="6" customHeight="1" x14ac:dyDescent="0.3">
      <c r="A21" s="95"/>
      <c r="B21" s="115"/>
      <c r="C21" s="67"/>
      <c r="D21" s="117"/>
      <c r="E21" s="64"/>
      <c r="F21" s="120"/>
      <c r="G21" s="122"/>
      <c r="H21" s="96"/>
      <c r="I21" s="90"/>
      <c r="J21" s="88"/>
    </row>
    <row r="22" spans="1:10" s="57" customFormat="1" ht="20.100000000000001" customHeight="1" x14ac:dyDescent="0.3">
      <c r="A22" s="114" t="str">
        <f>IF(AuswahlBetragsartEinkommenNST=0,"",IF(AuswahlBetragsartEinkommenNST=1,Auswahlwerte!D13,Auswahlwerte!E13))</f>
        <v/>
      </c>
      <c r="B22" s="115"/>
      <c r="C22" s="81"/>
      <c r="D22" s="117" t="s">
        <v>31</v>
      </c>
      <c r="E22" s="74"/>
      <c r="F22" s="120"/>
      <c r="G22" s="121"/>
      <c r="H22" s="96"/>
      <c r="I22" s="90"/>
      <c r="J22" s="88"/>
    </row>
    <row r="23" spans="1:10" s="55" customFormat="1" ht="6" customHeight="1" x14ac:dyDescent="0.3">
      <c r="A23" s="105"/>
      <c r="B23" s="116"/>
      <c r="C23" s="66"/>
      <c r="D23" s="110"/>
      <c r="E23" s="82"/>
      <c r="F23" s="107"/>
      <c r="G23" s="119"/>
      <c r="H23" s="100"/>
      <c r="I23" s="90"/>
      <c r="J23" s="88"/>
    </row>
    <row r="24" spans="1:10" s="57" customFormat="1" ht="20.100000000000001" customHeight="1" x14ac:dyDescent="0.3">
      <c r="A24" s="114" t="str">
        <f>IF(AuswahlBetragsartEinkommenNST=0,"",IF(AuswahlBetragsartEinkommenNST=1,Auswahlwerte!D14,Auswahlwerte!E14))</f>
        <v/>
      </c>
      <c r="B24" s="115"/>
      <c r="C24" s="81"/>
      <c r="D24" s="117" t="s">
        <v>31</v>
      </c>
      <c r="E24" s="74"/>
      <c r="F24" s="120"/>
      <c r="G24" s="121"/>
      <c r="H24" s="96"/>
      <c r="I24" s="90"/>
      <c r="J24" s="88" t="str">
        <f>IF(AuswahlBetragsartEinkommenNST=1,"Geben Sie zu berücksichtigende Renteneinkünfte als Jahresbetrag ein.","")</f>
        <v/>
      </c>
    </row>
    <row r="25" spans="1:10" s="55" customFormat="1" ht="6" customHeight="1" x14ac:dyDescent="0.3">
      <c r="A25" s="105"/>
      <c r="B25" s="116"/>
      <c r="C25" s="66"/>
      <c r="D25" s="110"/>
      <c r="E25" s="82"/>
      <c r="F25" s="107"/>
      <c r="G25" s="119"/>
      <c r="H25" s="100"/>
      <c r="I25" s="90"/>
      <c r="J25" s="88"/>
    </row>
    <row r="26" spans="1:10" s="57" customFormat="1" ht="20.100000000000001" customHeight="1" x14ac:dyDescent="0.3">
      <c r="A26" s="114" t="str">
        <f>IF(AuswahlBetragsartEinkommenNST=0,"",IF(AuswahlBetragsartEinkommenNST=1,Auswahlwerte!D15,Auswahlwerte!E15))</f>
        <v/>
      </c>
      <c r="B26" s="115"/>
      <c r="C26" s="81"/>
      <c r="D26" s="117" t="s">
        <v>31</v>
      </c>
      <c r="E26" s="74"/>
      <c r="F26" s="120"/>
      <c r="G26" s="121"/>
      <c r="H26" s="96"/>
      <c r="I26" s="90"/>
      <c r="J26" s="88" t="str">
        <f>IF(AuswahlBetragsartEinkommenNST=1,"Geben Sie die erzielten Einkünfte aus Kapitalvermögen (Zinsen etc.) als Jahresbetrag ein.","")</f>
        <v/>
      </c>
    </row>
    <row r="27" spans="1:10" s="55" customFormat="1" ht="6" customHeight="1" x14ac:dyDescent="0.3">
      <c r="A27" s="95"/>
      <c r="B27" s="116"/>
      <c r="C27" s="66"/>
      <c r="D27" s="110"/>
      <c r="E27" s="82"/>
      <c r="F27" s="107"/>
      <c r="G27" s="119"/>
      <c r="H27" s="100"/>
      <c r="I27" s="90"/>
      <c r="J27" s="88"/>
    </row>
    <row r="28" spans="1:10" s="57" customFormat="1" ht="20.100000000000001" customHeight="1" x14ac:dyDescent="0.3">
      <c r="A28" s="114" t="str">
        <f>IF(AuswahlBetragsartEinkommenNST=0,"",IF(AuswahlBetragsartEinkommenNST=1,Auswahlwerte!D16,Auswahlwerte!E16))</f>
        <v/>
      </c>
      <c r="B28" s="115"/>
      <c r="C28" s="81"/>
      <c r="D28" s="117" t="str">
        <f>IF(AuswahlBetragsartEinkommenNST=1,"./.","+")</f>
        <v>+</v>
      </c>
      <c r="E28" s="74"/>
      <c r="F28" s="120"/>
      <c r="G28" s="121"/>
      <c r="H28" s="96"/>
      <c r="I28" s="90"/>
      <c r="J28" s="88" t="str">
        <f>IF(AuswahlBetragsartEinkommenNST=1,"Geben Sie die für das maßgebliche Jahr zu zahlende Lohn-/Einkommensteuer (abzügl. Erstattungen) ein.","")</f>
        <v/>
      </c>
    </row>
    <row r="29" spans="1:10" s="55" customFormat="1" ht="6" customHeight="1" x14ac:dyDescent="0.3">
      <c r="A29" s="105"/>
      <c r="B29" s="116"/>
      <c r="C29" s="66"/>
      <c r="D29" s="110"/>
      <c r="E29" s="82"/>
      <c r="F29" s="107"/>
      <c r="G29" s="119"/>
      <c r="H29" s="100"/>
      <c r="I29" s="90"/>
      <c r="J29" s="88"/>
    </row>
    <row r="30" spans="1:10" s="57" customFormat="1" ht="20.100000000000001" customHeight="1" x14ac:dyDescent="0.3">
      <c r="A30" s="114" t="str">
        <f>IF(AuswahlBetragsartEinkommenNST=0,"",IF(AuswahlBetragsartEinkommenNST=1,Auswahlwerte!D17,Auswahlwerte!E17))</f>
        <v/>
      </c>
      <c r="B30" s="115"/>
      <c r="C30" s="81"/>
      <c r="D30" s="117" t="str">
        <f>IF(AuswahlBetragsartEinkommenNST=1,"./.","+")</f>
        <v>+</v>
      </c>
      <c r="E30" s="74"/>
      <c r="F30" s="120"/>
      <c r="G30" s="121"/>
      <c r="H30" s="96"/>
      <c r="I30" s="90"/>
      <c r="J30" s="88" t="str">
        <f>IF(AuswahlBetragsartEinkommenNST=1,"Geben Sie den für das maßgebliche Jahr zu zahlenden Solidaritätszuschlag (abzügl. Erstattungen) ein.","")</f>
        <v/>
      </c>
    </row>
    <row r="31" spans="1:10" s="55" customFormat="1" ht="6" customHeight="1" x14ac:dyDescent="0.3">
      <c r="A31" s="95"/>
      <c r="B31" s="116"/>
      <c r="C31" s="66"/>
      <c r="D31" s="110"/>
      <c r="E31" s="82"/>
      <c r="F31" s="107"/>
      <c r="G31" s="119"/>
      <c r="H31" s="100"/>
      <c r="I31" s="90"/>
      <c r="J31" s="88"/>
    </row>
    <row r="32" spans="1:10" s="57" customFormat="1" ht="20.100000000000001" customHeight="1" x14ac:dyDescent="0.3">
      <c r="A32" s="114" t="str">
        <f>IF(AuswahlBetragsartEinkommenNST=0,"",IF(AuswahlBetragsartEinkommenNST=1,Auswahlwerte!D18,Auswahlwerte!E18))</f>
        <v/>
      </c>
      <c r="B32" s="115"/>
      <c r="C32" s="81"/>
      <c r="D32" s="117" t="str">
        <f>IF(AuswahlBetragsartEinkommenNST=1,"./.","+")</f>
        <v>+</v>
      </c>
      <c r="E32" s="74"/>
      <c r="F32" s="120"/>
      <c r="G32" s="121"/>
      <c r="H32" s="96"/>
      <c r="I32" s="90"/>
      <c r="J32" s="88" t="str">
        <f>IF(AuswahlBetragsartEinkommenNST=1,"Geben Sie die für das maßgebliche Jahr zu zahlende Kirchensteuer (abzügl. Erstattungen) ein.","")</f>
        <v/>
      </c>
    </row>
    <row r="33" spans="1:10" s="55" customFormat="1" ht="6" customHeight="1" x14ac:dyDescent="0.3">
      <c r="A33" s="105"/>
      <c r="B33" s="116"/>
      <c r="C33" s="66"/>
      <c r="D33" s="110"/>
      <c r="E33" s="82"/>
      <c r="F33" s="107"/>
      <c r="G33" s="119"/>
      <c r="H33" s="100"/>
      <c r="I33" s="90"/>
      <c r="J33" s="88"/>
    </row>
    <row r="34" spans="1:10" s="57" customFormat="1" ht="20.100000000000001" customHeight="1" x14ac:dyDescent="0.3">
      <c r="A34" s="114" t="str">
        <f>IF(AuswahlBetragsartEinkommenNST=0,"",IF(AuswahlBetragsartEinkommenNST=1,Auswahlwerte!D19,Auswahlwerte!E19))</f>
        <v/>
      </c>
      <c r="B34" s="115"/>
      <c r="C34" s="81"/>
      <c r="D34" s="117" t="str">
        <f>IF(AuswahlBetragsartEinkommenNST=1,"./.","+")</f>
        <v>+</v>
      </c>
      <c r="E34" s="74"/>
      <c r="F34" s="120"/>
      <c r="G34" s="121"/>
      <c r="H34" s="96"/>
      <c r="I34" s="90"/>
      <c r="J34" s="88" t="str">
        <f>IF(AuswahlBetragsartEinkommenNST=1,"Geben Sie die für das maßgebliche Jahr zu zahlenden Krankenversicherungsbeiträge ein.","")</f>
        <v/>
      </c>
    </row>
    <row r="35" spans="1:10" s="55" customFormat="1" ht="6" customHeight="1" x14ac:dyDescent="0.3">
      <c r="A35" s="105"/>
      <c r="B35" s="116"/>
      <c r="C35" s="66"/>
      <c r="D35" s="110"/>
      <c r="E35" s="82"/>
      <c r="F35" s="107"/>
      <c r="G35" s="119"/>
      <c r="H35" s="100"/>
      <c r="I35" s="90"/>
      <c r="J35" s="88"/>
    </row>
    <row r="36" spans="1:10" s="57" customFormat="1" ht="20.100000000000001" customHeight="1" x14ac:dyDescent="0.3">
      <c r="A36" s="114" t="str">
        <f>IF(AuswahlBetragsartEinkommenNST=0,"",IF(AuswahlBetragsartEinkommenNST=1,Auswahlwerte!D20,Auswahlwerte!E20))</f>
        <v/>
      </c>
      <c r="B36" s="115"/>
      <c r="C36" s="81"/>
      <c r="D36" s="117" t="str">
        <f>IF(AuswahlBetragsartEinkommenNST=1,"./.","+")</f>
        <v>+</v>
      </c>
      <c r="E36" s="74"/>
      <c r="F36" s="120"/>
      <c r="G36" s="121"/>
      <c r="H36" s="96"/>
      <c r="I36" s="90"/>
      <c r="J36" s="88" t="str">
        <f>IF(AuswahlBetragsartEinkommenNST=1,"Geben Sie die für das maßgebliche Jahr zu zahlenden Pflegeversicherungsbeiträge ein.","")</f>
        <v/>
      </c>
    </row>
    <row r="37" spans="1:10" s="55" customFormat="1" ht="6" customHeight="1" x14ac:dyDescent="0.3">
      <c r="A37" s="105"/>
      <c r="B37" s="116"/>
      <c r="C37" s="66"/>
      <c r="D37" s="110"/>
      <c r="E37" s="82"/>
      <c r="F37" s="107"/>
      <c r="G37" s="119"/>
      <c r="H37" s="100"/>
      <c r="I37" s="90"/>
      <c r="J37" s="88"/>
    </row>
    <row r="38" spans="1:10" s="57" customFormat="1" ht="20.100000000000001" customHeight="1" x14ac:dyDescent="0.3">
      <c r="A38" s="114" t="str">
        <f>IF(AuswahlBetragsartEinkommenNST=0,"",IF(AuswahlBetragsartEinkommenNST=1,Auswahlwerte!D21,Auswahlwerte!E21))</f>
        <v/>
      </c>
      <c r="B38" s="115"/>
      <c r="C38" s="81"/>
      <c r="D38" s="117" t="str">
        <f>IF(AuswahlBetragsartEinkommenNST=1,"./.","+")</f>
        <v>+</v>
      </c>
      <c r="E38" s="74"/>
      <c r="F38" s="120"/>
      <c r="G38" s="121"/>
      <c r="H38" s="96"/>
      <c r="I38" s="90"/>
      <c r="J38" s="88" t="str">
        <f>IF(AuswahlBetragsartEinkommenNST=1,"Geben Sie die für das maßgebliche Jahr zu zahlenden Rentenversicherungsbeiträge ein.","")</f>
        <v/>
      </c>
    </row>
    <row r="39" spans="1:10" s="55" customFormat="1" ht="6" customHeight="1" x14ac:dyDescent="0.3">
      <c r="A39" s="105"/>
      <c r="B39" s="116"/>
      <c r="C39" s="66"/>
      <c r="D39" s="110"/>
      <c r="E39" s="82"/>
      <c r="F39" s="107"/>
      <c r="G39" s="119"/>
      <c r="H39" s="100"/>
      <c r="I39" s="90"/>
      <c r="J39" s="88"/>
    </row>
    <row r="40" spans="1:10" s="57" customFormat="1" ht="20.100000000000001" customHeight="1" x14ac:dyDescent="0.3">
      <c r="A40" s="114" t="str">
        <f>IF(AuswahlBetragsartEinkommenNST=0,"",IF(AuswahlBetragsartEinkommenNST=1,Auswahlwerte!D22,Auswahlwerte!E22))</f>
        <v/>
      </c>
      <c r="B40" s="115"/>
      <c r="C40" s="81"/>
      <c r="D40" s="117" t="str">
        <f>IF(AuswahlBetragsartEinkommenNST=1,"./.","+")</f>
        <v>+</v>
      </c>
      <c r="E40" s="74"/>
      <c r="F40" s="120"/>
      <c r="G40" s="121"/>
      <c r="H40" s="96"/>
      <c r="I40" s="90"/>
      <c r="J40" s="88" t="str">
        <f>IF(AuswahlBetragsartEinkommenNST=1,"Geben Sie die für das maßgebliche Jahr zu zahlenden Beiträge zur Arbeitsförderung ein.","")</f>
        <v/>
      </c>
    </row>
    <row r="41" spans="1:10" s="55" customFormat="1" ht="6" customHeight="1" x14ac:dyDescent="0.3">
      <c r="A41" s="105"/>
      <c r="B41" s="116"/>
      <c r="C41" s="118"/>
      <c r="D41" s="110"/>
      <c r="E41" s="107"/>
      <c r="F41" s="107"/>
      <c r="G41" s="119"/>
      <c r="H41" s="100"/>
      <c r="I41" s="90"/>
      <c r="J41" s="85"/>
    </row>
    <row r="42" spans="1:10" s="57" customFormat="1" ht="20.100000000000001" customHeight="1" x14ac:dyDescent="0.25">
      <c r="A42" s="114" t="s">
        <v>138</v>
      </c>
      <c r="B42" s="114"/>
      <c r="C42" s="114"/>
      <c r="D42" s="117" t="s">
        <v>35</v>
      </c>
      <c r="E42" s="68">
        <f>IF(AuswahlBetragsartEinkommenNST=1,SUM(E18:E26)-SUM(E28:E40),SUM(E18:E40))</f>
        <v>0</v>
      </c>
      <c r="F42" s="114"/>
      <c r="G42" s="137" t="s">
        <v>32</v>
      </c>
      <c r="H42" s="96"/>
      <c r="I42" s="90" t="str">
        <f>IF(AuswahlBetragsartEinkommenNST&lt;&gt;0,IF(E42&lt;=0,"Kein positives Einkommen?",""),"")</f>
        <v/>
      </c>
      <c r="J42" s="85"/>
    </row>
    <row r="43" spans="1:10" ht="6" customHeight="1" x14ac:dyDescent="0.3">
      <c r="A43" s="93"/>
      <c r="B43" s="93"/>
      <c r="C43" s="93"/>
      <c r="D43" s="111"/>
      <c r="E43" s="100"/>
      <c r="F43" s="94"/>
      <c r="G43" s="105"/>
      <c r="H43" s="93"/>
      <c r="I43" s="90"/>
      <c r="J43" s="86"/>
    </row>
    <row r="44" spans="1:10" s="57" customFormat="1" ht="20.100000000000001" customHeight="1" x14ac:dyDescent="0.3">
      <c r="A44" s="114" t="str">
        <f>IF(AuswahlEinkommensjahr=0,"",IF(AuswahlBetragsartEinkommenNST=0,"","Umrechnung für den Zeitraum "&amp;TEXT(DAY(EinkommenVon),"00")&amp;"."&amp;TEXT(MONTH(EinkommenVon),"00")&amp;"."&amp;YEAR(EinkommenVon)&amp;" - "&amp;TEXT(DAY(EinkommenBis),"00")&amp;"."&amp;TEXT(MONTH(EinkommenBis),"00")&amp;"."&amp;YEAR(EinkommenBis)))</f>
        <v/>
      </c>
      <c r="B44" s="114"/>
      <c r="C44" s="102"/>
      <c r="D44" s="110" t="s">
        <v>36</v>
      </c>
      <c r="E44" s="123" t="str">
        <f>Einkommensmonate</f>
        <v/>
      </c>
      <c r="F44" s="110" t="s">
        <v>35</v>
      </c>
      <c r="G44" s="68" t="str">
        <f>IF(AuswahlEinkommensjahr=0,"",IF(AuswahlBetragsartEinkommenNST=0,"",E42/Einkommensmonate))</f>
        <v/>
      </c>
      <c r="H44" s="96"/>
      <c r="I44" s="90"/>
      <c r="J44" s="134" t="s">
        <v>139</v>
      </c>
    </row>
    <row r="45" spans="1:10" ht="14.1" customHeight="1" x14ac:dyDescent="0.3">
      <c r="A45" s="93"/>
      <c r="B45" s="93"/>
      <c r="C45" s="93"/>
      <c r="D45" s="111"/>
      <c r="E45" s="93"/>
      <c r="F45" s="94"/>
      <c r="G45" s="94"/>
      <c r="H45" s="93"/>
      <c r="I45" s="90"/>
      <c r="J45" s="85"/>
    </row>
    <row r="46" spans="1:10" s="57" customFormat="1" ht="20.100000000000001" customHeight="1" x14ac:dyDescent="0.3">
      <c r="A46" s="114" t="s">
        <v>137</v>
      </c>
      <c r="B46" s="115"/>
      <c r="C46" s="152"/>
      <c r="D46" s="152"/>
      <c r="E46" s="152"/>
      <c r="F46" s="152"/>
      <c r="G46" s="147" t="s">
        <v>32</v>
      </c>
      <c r="H46" s="96"/>
      <c r="I46" s="90"/>
      <c r="J46" s="85"/>
    </row>
    <row r="47" spans="1:10" s="55" customFormat="1" ht="6" customHeight="1" x14ac:dyDescent="0.3">
      <c r="A47" s="105"/>
      <c r="B47" s="105"/>
      <c r="C47" s="152"/>
      <c r="D47" s="152"/>
      <c r="E47" s="152"/>
      <c r="F47" s="152"/>
      <c r="G47" s="147"/>
      <c r="H47" s="100"/>
      <c r="I47" s="90"/>
      <c r="J47" s="85"/>
    </row>
    <row r="48" spans="1:10" s="57" customFormat="1" ht="19.5" customHeight="1" x14ac:dyDescent="0.3">
      <c r="A48" s="153"/>
      <c r="B48" s="153"/>
      <c r="C48" s="153"/>
      <c r="D48" s="153"/>
      <c r="E48" s="153"/>
      <c r="F48" s="120" t="s">
        <v>31</v>
      </c>
      <c r="G48" s="74"/>
      <c r="H48" s="96"/>
      <c r="I48" s="90"/>
      <c r="J48" s="138" t="s">
        <v>140</v>
      </c>
    </row>
    <row r="49" spans="1:10" ht="14.1" customHeight="1" x14ac:dyDescent="0.3">
      <c r="A49" s="93"/>
      <c r="B49" s="93"/>
      <c r="C49" s="93"/>
      <c r="D49" s="111"/>
      <c r="E49" s="93"/>
      <c r="F49" s="94"/>
      <c r="G49" s="94"/>
      <c r="H49" s="93"/>
      <c r="I49" s="90"/>
      <c r="J49" s="85"/>
    </row>
    <row r="50" spans="1:10" ht="20.100000000000001" customHeight="1" x14ac:dyDescent="0.3">
      <c r="A50" s="114" t="s">
        <v>128</v>
      </c>
      <c r="B50" s="93"/>
      <c r="C50" s="93"/>
      <c r="D50" s="111"/>
      <c r="E50" s="93"/>
      <c r="F50" s="94"/>
      <c r="G50" s="68" t="str">
        <f>IF(AuswahlBetragsartEinkommenNST=0,"",G44+G48)</f>
        <v/>
      </c>
      <c r="H50" s="93"/>
      <c r="I50" s="90"/>
      <c r="J50" s="85"/>
    </row>
    <row r="51" spans="1:10" ht="14.1" customHeight="1" x14ac:dyDescent="0.3">
      <c r="A51" s="93"/>
      <c r="B51" s="93"/>
      <c r="C51" s="93"/>
      <c r="D51" s="111"/>
      <c r="E51" s="93"/>
      <c r="F51" s="94"/>
      <c r="G51" s="94"/>
      <c r="H51" s="93"/>
      <c r="I51" s="90"/>
      <c r="J51" s="85"/>
    </row>
    <row r="52" spans="1:10" s="57" customFormat="1" ht="20.100000000000001" customHeight="1" x14ac:dyDescent="0.3">
      <c r="A52" s="114" t="s">
        <v>131</v>
      </c>
      <c r="B52" s="115"/>
      <c r="C52" s="93"/>
      <c r="D52" s="102"/>
      <c r="E52" s="93"/>
      <c r="F52" s="120"/>
      <c r="G52" s="121"/>
      <c r="H52" s="96"/>
      <c r="I52" s="90"/>
      <c r="J52" s="85"/>
    </row>
    <row r="53" spans="1:10" s="57" customFormat="1" ht="20.100000000000001" customHeight="1" x14ac:dyDescent="0.3">
      <c r="A53" s="114" t="s">
        <v>129</v>
      </c>
      <c r="B53" s="115"/>
      <c r="C53" s="152" t="s">
        <v>130</v>
      </c>
      <c r="D53" s="152"/>
      <c r="E53" s="152"/>
      <c r="F53" s="152"/>
      <c r="G53" s="147" t="s">
        <v>32</v>
      </c>
      <c r="H53" s="96"/>
      <c r="I53" s="90"/>
      <c r="J53" s="155" t="s">
        <v>136</v>
      </c>
    </row>
    <row r="54" spans="1:10" s="55" customFormat="1" ht="6" customHeight="1" x14ac:dyDescent="0.3">
      <c r="A54" s="105"/>
      <c r="B54" s="105"/>
      <c r="C54" s="152"/>
      <c r="D54" s="152"/>
      <c r="E54" s="152"/>
      <c r="F54" s="152"/>
      <c r="G54" s="147"/>
      <c r="H54" s="100"/>
      <c r="I54" s="90"/>
      <c r="J54" s="155"/>
    </row>
    <row r="55" spans="1:10" s="57" customFormat="1" ht="19.5" customHeight="1" x14ac:dyDescent="0.3">
      <c r="A55" s="135" t="s">
        <v>132</v>
      </c>
      <c r="B55" s="115"/>
      <c r="C55" s="153"/>
      <c r="D55" s="153"/>
      <c r="E55" s="153"/>
      <c r="F55" s="120" t="s">
        <v>44</v>
      </c>
      <c r="G55" s="74"/>
      <c r="H55" s="96"/>
      <c r="I55" s="90"/>
      <c r="J55" s="155"/>
    </row>
    <row r="56" spans="1:10" s="55" customFormat="1" ht="6" customHeight="1" x14ac:dyDescent="0.3">
      <c r="A56" s="105"/>
      <c r="B56" s="116"/>
      <c r="C56" s="66"/>
      <c r="D56" s="110"/>
      <c r="F56" s="107"/>
      <c r="G56" s="82"/>
      <c r="H56" s="100"/>
      <c r="I56" s="90"/>
      <c r="J56" s="155"/>
    </row>
    <row r="57" spans="1:10" s="57" customFormat="1" ht="19.5" customHeight="1" x14ac:dyDescent="0.3">
      <c r="A57" s="135" t="s">
        <v>133</v>
      </c>
      <c r="B57" s="115"/>
      <c r="C57" s="153"/>
      <c r="D57" s="153"/>
      <c r="E57" s="153"/>
      <c r="F57" s="120" t="s">
        <v>44</v>
      </c>
      <c r="G57" s="74"/>
      <c r="H57" s="96"/>
      <c r="I57" s="90"/>
      <c r="J57" s="155"/>
    </row>
    <row r="58" spans="1:10" s="55" customFormat="1" ht="6" customHeight="1" x14ac:dyDescent="0.3">
      <c r="A58" s="105"/>
      <c r="B58" s="116"/>
      <c r="C58" s="66"/>
      <c r="D58" s="110"/>
      <c r="F58" s="107"/>
      <c r="G58" s="82"/>
      <c r="H58" s="100"/>
      <c r="I58" s="90"/>
      <c r="J58" s="155"/>
    </row>
    <row r="59" spans="1:10" s="57" customFormat="1" ht="19.5" customHeight="1" x14ac:dyDescent="0.3">
      <c r="A59" s="135" t="s">
        <v>134</v>
      </c>
      <c r="B59" s="115"/>
      <c r="C59" s="153"/>
      <c r="D59" s="153"/>
      <c r="E59" s="153"/>
      <c r="F59" s="120" t="s">
        <v>44</v>
      </c>
      <c r="G59" s="74"/>
      <c r="H59" s="96"/>
      <c r="I59" s="90"/>
      <c r="J59" s="155"/>
    </row>
    <row r="60" spans="1:10" s="55" customFormat="1" ht="6" customHeight="1" x14ac:dyDescent="0.3">
      <c r="A60" s="105"/>
      <c r="B60" s="116"/>
      <c r="C60" s="66"/>
      <c r="D60" s="110"/>
      <c r="F60" s="107"/>
      <c r="G60" s="82"/>
      <c r="H60" s="100"/>
      <c r="I60" s="90"/>
      <c r="J60" s="155"/>
    </row>
    <row r="61" spans="1:10" s="57" customFormat="1" ht="19.5" customHeight="1" x14ac:dyDescent="0.3">
      <c r="A61" s="135" t="s">
        <v>135</v>
      </c>
      <c r="B61" s="115"/>
      <c r="C61" s="153"/>
      <c r="D61" s="153"/>
      <c r="E61" s="153"/>
      <c r="F61" s="120" t="s">
        <v>44</v>
      </c>
      <c r="G61" s="74"/>
      <c r="H61" s="96"/>
      <c r="I61" s="90"/>
      <c r="J61" s="155"/>
    </row>
    <row r="62" spans="1:10" s="55" customFormat="1" ht="6" customHeight="1" x14ac:dyDescent="0.3">
      <c r="A62" s="105"/>
      <c r="B62" s="116"/>
      <c r="C62" s="66"/>
      <c r="D62" s="110"/>
      <c r="E62" s="82"/>
      <c r="F62" s="107"/>
      <c r="G62" s="119"/>
      <c r="H62" s="100"/>
      <c r="I62" s="90"/>
      <c r="J62" s="88"/>
    </row>
    <row r="63" spans="1:10" s="57" customFormat="1" ht="20.100000000000001" customHeight="1" x14ac:dyDescent="0.3">
      <c r="A63" s="114" t="s">
        <v>62</v>
      </c>
      <c r="B63" s="114"/>
      <c r="C63" s="114"/>
      <c r="D63" s="117"/>
      <c r="E63" s="114"/>
      <c r="F63" s="114"/>
      <c r="G63" s="68" t="str">
        <f>IF(AuswahlEinkommensjahr=0,"",G50-SUM(G55:G61))</f>
        <v/>
      </c>
      <c r="H63" s="96"/>
      <c r="I63" s="90"/>
      <c r="J63" s="88"/>
    </row>
    <row r="64" spans="1:10" ht="14.1" customHeight="1" x14ac:dyDescent="0.3">
      <c r="A64" s="93"/>
      <c r="B64" s="93"/>
      <c r="C64" s="93"/>
      <c r="D64" s="111"/>
      <c r="E64" s="93"/>
      <c r="F64" s="94"/>
      <c r="G64" s="94"/>
      <c r="H64" s="93"/>
      <c r="I64" s="90"/>
      <c r="J64" s="85"/>
    </row>
    <row r="65" spans="1:10" s="62" customFormat="1" ht="20.100000000000001" customHeight="1" x14ac:dyDescent="0.3">
      <c r="A65" s="95" t="str">
        <f>IF(AuswahlEinkommensjahr=0,"",IF(AuswahlBetragsartEinkommenNST=0,"","Monatliche Belastungen gem. § 93 Abs. 3 SGB VIII"))</f>
        <v/>
      </c>
      <c r="B65" s="109"/>
      <c r="C65" s="101"/>
      <c r="D65" s="102"/>
      <c r="E65" s="101"/>
      <c r="F65" s="112"/>
      <c r="G65" s="113"/>
      <c r="H65" s="101"/>
      <c r="I65" s="90"/>
      <c r="J65" s="85"/>
    </row>
    <row r="66" spans="1:10" s="55" customFormat="1" ht="6" customHeight="1" x14ac:dyDescent="0.3">
      <c r="A66" s="105"/>
      <c r="B66" s="105"/>
      <c r="C66" s="105"/>
      <c r="D66" s="111"/>
      <c r="E66" s="107"/>
      <c r="F66" s="107"/>
      <c r="G66" s="100"/>
      <c r="H66" s="100"/>
      <c r="I66" s="90"/>
      <c r="J66" s="85"/>
    </row>
    <row r="67" spans="1:10" s="57" customFormat="1" ht="14.1" customHeight="1" x14ac:dyDescent="0.3">
      <c r="A67" s="105" t="str">
        <f>"Zu berücksichtigen im Zeitraum "&amp;IF(OR(EinkommenVon="",EinkommenBis="")=TRUE,"",TEXT(DAY(EinkommenVon),"00")&amp;"."&amp;TEXT(MONTH(EinkommenVon),"00")&amp;"."&amp;YEAR(EinkommenVon)&amp;" - "&amp;TEXT(DAY(EinkommenBis),"00")&amp;"."&amp;TEXT(MONTH(EinkommenBis),"00")&amp;"."&amp;YEAR(EinkommenBis))</f>
        <v xml:space="preserve">Zu berücksichtigen im Zeitraum </v>
      </c>
      <c r="B67" s="115"/>
      <c r="C67" s="105" t="s">
        <v>28</v>
      </c>
      <c r="D67" s="102"/>
      <c r="E67" s="107" t="s">
        <v>32</v>
      </c>
      <c r="F67" s="120"/>
      <c r="G67" s="121"/>
      <c r="H67" s="96"/>
      <c r="I67" s="90"/>
      <c r="J67" s="156" t="s">
        <v>101</v>
      </c>
    </row>
    <row r="68" spans="1:10" s="55" customFormat="1" ht="6" customHeight="1" x14ac:dyDescent="0.3">
      <c r="A68" s="105"/>
      <c r="B68" s="105"/>
      <c r="C68" s="105"/>
      <c r="D68" s="111"/>
      <c r="E68" s="107"/>
      <c r="F68" s="107"/>
      <c r="G68" s="100"/>
      <c r="H68" s="100"/>
      <c r="I68" s="90"/>
      <c r="J68" s="156"/>
    </row>
    <row r="69" spans="1:10" s="57" customFormat="1" ht="19.5" customHeight="1" x14ac:dyDescent="0.3">
      <c r="A69" s="114" t="s">
        <v>59</v>
      </c>
      <c r="B69" s="115"/>
      <c r="C69" s="81"/>
      <c r="D69" s="83"/>
      <c r="E69" s="74"/>
      <c r="F69" s="120"/>
      <c r="G69" s="121"/>
      <c r="H69" s="96"/>
      <c r="I69" s="90"/>
      <c r="J69" s="156"/>
    </row>
    <row r="70" spans="1:10" s="55" customFormat="1" ht="6" customHeight="1" x14ac:dyDescent="0.3">
      <c r="A70" s="114"/>
      <c r="B70" s="116"/>
      <c r="C70" s="118"/>
      <c r="D70" s="110"/>
      <c r="E70" s="107"/>
      <c r="F70" s="107"/>
      <c r="G70" s="119"/>
      <c r="H70" s="100"/>
      <c r="I70" s="90"/>
      <c r="J70" s="85"/>
    </row>
    <row r="71" spans="1:10" s="57" customFormat="1" ht="20.100000000000001" customHeight="1" x14ac:dyDescent="0.3">
      <c r="A71" s="114" t="s">
        <v>64</v>
      </c>
      <c r="B71" s="144"/>
      <c r="C71" s="114" t="s">
        <v>65</v>
      </c>
      <c r="D71" s="121"/>
      <c r="E71" s="121"/>
      <c r="F71" s="120"/>
      <c r="G71" s="121"/>
      <c r="H71" s="96"/>
      <c r="I71" s="90"/>
      <c r="J71" s="161" t="str">
        <f>"KFZ-Fahrtkosten: Standard bei Vollzeittätigkeit = " &amp; Standardanzahl_Arbeitstage &amp; " Arbeitstage / Jahr und " &amp; TEXT(kmPauschale,"#.##0,00") &amp; " € je Entfernungs-km (bis 20km) bzw. " &amp; TEXT(kmPauschale2,"#.##0,00") &amp; " € ab dem 21. km, orientiert am Steuerrecht. Tragen Sie ggf. eine andere Anzahl Arbeitstage ein, wenn der berücksichtigte Einkommenszeitraum abweichende Arbeitstage enthält bzw. mehr/weniger als 5 Tage je Woche gearbeitet wird."</f>
        <v>KFZ-Fahrtkosten: Standard bei Vollzeittätigkeit = 220 Arbeitstage / Jahr und 0,30 € je Entfernungs-km (bis 20km) bzw. 0,35 € ab dem 21. km, orientiert am Steuerrecht. Tragen Sie ggf. eine andere Anzahl Arbeitstage ein, wenn der berücksichtigte Einkommenszeitraum abweichende Arbeitstage enthält bzw. mehr/weniger als 5 Tage je Woche gearbeitet wird.</v>
      </c>
    </row>
    <row r="72" spans="1:10" s="55" customFormat="1" ht="6" customHeight="1" x14ac:dyDescent="0.3">
      <c r="A72" s="114"/>
      <c r="B72" s="65"/>
      <c r="C72" s="114"/>
      <c r="D72" s="110"/>
      <c r="E72" s="107"/>
      <c r="F72" s="107"/>
      <c r="G72" s="119"/>
      <c r="H72" s="100"/>
      <c r="I72" s="90"/>
      <c r="J72" s="161"/>
    </row>
    <row r="73" spans="1:10" s="57" customFormat="1" ht="20.100000000000001" customHeight="1" x14ac:dyDescent="0.3">
      <c r="A73" s="114" t="s">
        <v>66</v>
      </c>
      <c r="B73" s="145">
        <f>Standardanzahl_Arbeitstage</f>
        <v>220</v>
      </c>
      <c r="C73" s="114" t="str">
        <f>"Tagen in " &amp; IF(Einkommensmonate="","0",Einkommensmonate) &amp; " Monaten"</f>
        <v>Tagen in 0 Monaten</v>
      </c>
      <c r="D73" s="121"/>
      <c r="E73" s="121"/>
      <c r="F73" s="120"/>
      <c r="G73" s="121"/>
      <c r="H73" s="96"/>
      <c r="I73" s="90"/>
      <c r="J73" s="161"/>
    </row>
    <row r="74" spans="1:10" s="55" customFormat="1" ht="6" customHeight="1" x14ac:dyDescent="0.3">
      <c r="A74" s="105"/>
      <c r="B74" s="105"/>
      <c r="C74" s="114"/>
      <c r="D74" s="111"/>
      <c r="E74" s="93"/>
      <c r="F74" s="107"/>
      <c r="G74" s="100"/>
      <c r="H74" s="100"/>
      <c r="I74" s="90"/>
      <c r="J74" s="161"/>
    </row>
    <row r="75" spans="1:10" s="57" customFormat="1" ht="19.5" customHeight="1" x14ac:dyDescent="0.3">
      <c r="A75" s="114" t="str">
        <f>"Fahrtkosten für " &amp; ROUND(IF(Fahrtstrecke&gt;=biskm1+1,biskm1,IF(OR(Fahrtstrecke="",Fahrtstrecke&lt;=0)=TRUE,0,Fahrtstrecke)),0) &amp; " km x " &amp; TEXT(kmPauschale,"#.##0,00") &amp; " € x " &amp; Arbeitstage_Jahr &amp; " Tage / " &amp; Einkommensmonate &amp; " Monate"</f>
        <v>Fahrtkosten für 0 km x 0,30 € x 220 Tage /  Monate</v>
      </c>
      <c r="B75" s="115"/>
      <c r="C75" s="114"/>
      <c r="D75" s="117" t="s">
        <v>31</v>
      </c>
      <c r="E75" s="124" t="str">
        <f>IF(AuswahlEinkommensjahr=0,"",IF(AuswahlBetragsartEinkommenNST=0,"",IF(OR(Fahrtstrecke="",Fahrtstrecke&lt;=0,Arbeitstage_Jahr="",Arbeitstage_Jahr&lt;=0)=TRUE,0,IF(Fahrtstrecke&gt;=biskm1+1,biskm1,Fahrtstrecke) *kmPauschale*Arbeitstage_Jahr/Einkommensmonate)))</f>
        <v/>
      </c>
      <c r="F75" s="120"/>
      <c r="G75" s="121"/>
      <c r="H75" s="96"/>
      <c r="I75" s="90"/>
      <c r="J75" s="162" t="str">
        <f>"ÖPNV-Kosten oder Fahrtkosten, bei denen nicht die Entfernungspauschale von " &amp; TEXT(kmPauschale,"#.##0,00") &amp; " € je km anzuwenden ist, tragen Sie als 'Sonstige berufsbedingte Belastungen' ein und lassen in diesem Fall die Angabe der Entfernungs-KM bzw. Arbeitstage leer."</f>
        <v>ÖPNV-Kosten oder Fahrtkosten, bei denen nicht die Entfernungspauschale von 0,30 € je km anzuwenden ist, tragen Sie als 'Sonstige berufsbedingte Belastungen' ein und lassen in diesem Fall die Angabe der Entfernungs-KM bzw. Arbeitstage leer.</v>
      </c>
    </row>
    <row r="76" spans="1:10" s="57" customFormat="1" ht="6" customHeight="1" x14ac:dyDescent="0.3">
      <c r="A76" s="114"/>
      <c r="B76" s="115"/>
      <c r="C76" s="63"/>
      <c r="D76" s="117"/>
      <c r="E76" s="64"/>
      <c r="F76" s="120"/>
      <c r="G76" s="122"/>
      <c r="H76" s="96"/>
      <c r="I76" s="90"/>
      <c r="J76" s="162"/>
    </row>
    <row r="77" spans="1:10" s="57" customFormat="1" ht="19.5" customHeight="1" x14ac:dyDescent="0.3">
      <c r="A77" s="114" t="str">
        <f>IF(EinkommenVon&lt;&gt;"","Fahrtkosten für " &amp; IF(Fahrtstrecke &gt;=biskm1+1,Fahrtstrecke-biskm1,0) &amp; " km x " &amp; TEXT(IF(AND(YEAR(EinkommenVon)&gt;=kmPauschale3JahrVon,YEAR(EinkommenVon)&lt;=kmPauschale3JahrBis)=TRUE,kmPauschale3,kmPauschale2),"#.##0,00") &amp; " € x " &amp; Arbeitstage_Jahr &amp; " Tage / " &amp; Einkommensmonate &amp; " Monate","")</f>
        <v/>
      </c>
      <c r="B77" s="115"/>
      <c r="C77" s="114"/>
      <c r="D77" s="117" t="s">
        <v>31</v>
      </c>
      <c r="E77" s="124" t="str">
        <f>IF(AuswahlEinkommensjahr=0,"",IF(AuswahlBetragsartEinkommenNST=0,"",IF(OR(Fahrtstrecke="",Fahrtstrecke&lt;=0,Arbeitstage_Jahr="",Arbeitstage_Jahr&lt;=0)=TRUE,0,IF(Fahrtstrecke &gt;=biskm1+1,Fahrtstrecke-biskm1,0) * IF(AND(YEAR(EinkommenVon)&gt;=kmPauschale3JahrVon,YEAR(EinkommenVon)&lt;=kmPauschale3JahrBis)=TRUE,kmPauschale3,kmPauschale2) *Arbeitstage_Jahr/Einkommensmonate)))</f>
        <v/>
      </c>
      <c r="F77" s="120"/>
      <c r="G77" s="121"/>
      <c r="H77" s="96"/>
      <c r="I77" s="90"/>
      <c r="J77" s="162"/>
    </row>
    <row r="78" spans="1:10" s="57" customFormat="1" ht="6" customHeight="1" x14ac:dyDescent="0.3">
      <c r="A78" s="114"/>
      <c r="B78" s="115"/>
      <c r="C78" s="63"/>
      <c r="D78" s="117"/>
      <c r="E78" s="64"/>
      <c r="F78" s="120"/>
      <c r="G78" s="122"/>
      <c r="H78" s="96"/>
      <c r="I78" s="90"/>
      <c r="J78" s="162"/>
    </row>
    <row r="79" spans="1:10" s="57" customFormat="1" ht="20.100000000000001" customHeight="1" x14ac:dyDescent="0.3">
      <c r="A79" s="114" t="s">
        <v>67</v>
      </c>
      <c r="B79" s="115"/>
      <c r="C79" s="81"/>
      <c r="D79" s="117" t="s">
        <v>31</v>
      </c>
      <c r="E79" s="74"/>
      <c r="F79" s="120"/>
      <c r="G79" s="121"/>
      <c r="H79" s="96"/>
      <c r="I79" s="90"/>
      <c r="J79" s="162"/>
    </row>
    <row r="80" spans="1:10" s="57" customFormat="1" ht="6" customHeight="1" x14ac:dyDescent="0.3">
      <c r="A80" s="114"/>
      <c r="B80" s="115"/>
      <c r="C80" s="114"/>
      <c r="D80" s="117"/>
      <c r="E80" s="120"/>
      <c r="F80" s="120"/>
      <c r="G80" s="122"/>
      <c r="H80" s="96"/>
      <c r="I80" s="90"/>
      <c r="J80" s="85"/>
    </row>
    <row r="81" spans="1:10" s="57" customFormat="1" ht="20.100000000000001" customHeight="1" x14ac:dyDescent="0.3">
      <c r="A81" s="114" t="s">
        <v>50</v>
      </c>
      <c r="B81" s="115"/>
      <c r="C81" s="81"/>
      <c r="D81" s="117" t="s">
        <v>31</v>
      </c>
      <c r="E81" s="74"/>
      <c r="F81" s="120"/>
      <c r="G81" s="121"/>
      <c r="H81" s="96"/>
      <c r="I81" s="90"/>
      <c r="J81" s="156" t="s">
        <v>98</v>
      </c>
    </row>
    <row r="82" spans="1:10" s="57" customFormat="1" ht="6" customHeight="1" x14ac:dyDescent="0.3">
      <c r="A82" s="114"/>
      <c r="B82" s="115"/>
      <c r="C82" s="114"/>
      <c r="D82" s="117"/>
      <c r="E82" s="120"/>
      <c r="F82" s="120"/>
      <c r="G82" s="122"/>
      <c r="H82" s="96"/>
      <c r="I82" s="90"/>
      <c r="J82" s="156"/>
    </row>
    <row r="83" spans="1:10" s="57" customFormat="1" ht="20.100000000000001" customHeight="1" x14ac:dyDescent="0.3">
      <c r="A83" s="114" t="s">
        <v>73</v>
      </c>
      <c r="B83" s="115"/>
      <c r="C83" s="81"/>
      <c r="D83" s="117" t="s">
        <v>31</v>
      </c>
      <c r="E83" s="74"/>
      <c r="F83" s="120"/>
      <c r="G83" s="121"/>
      <c r="H83" s="96"/>
      <c r="I83" s="90"/>
      <c r="J83" s="156"/>
    </row>
    <row r="84" spans="1:10" s="55" customFormat="1" ht="6" customHeight="1" x14ac:dyDescent="0.3">
      <c r="A84" s="105"/>
      <c r="B84" s="116"/>
      <c r="C84" s="118"/>
      <c r="D84" s="110"/>
      <c r="E84" s="107"/>
      <c r="F84" s="107"/>
      <c r="G84" s="119"/>
      <c r="H84" s="100"/>
      <c r="I84" s="90"/>
      <c r="J84" s="85"/>
    </row>
    <row r="85" spans="1:10" s="57" customFormat="1" ht="20.100000000000001" customHeight="1" x14ac:dyDescent="0.3">
      <c r="A85" s="114" t="s">
        <v>60</v>
      </c>
      <c r="B85" s="126"/>
      <c r="C85" s="126"/>
      <c r="D85" s="110" t="s">
        <v>35</v>
      </c>
      <c r="E85" s="68" t="str">
        <f>IF(AuswahlBetragsartEinkommenNST=0,"",SUM(E69:E83))</f>
        <v/>
      </c>
      <c r="F85" s="97"/>
      <c r="G85" s="120"/>
      <c r="H85" s="96"/>
      <c r="I85" s="90" t="str">
        <f>IF(E85&lt;0,"Negative Werte sind unzulässig!","")</f>
        <v/>
      </c>
      <c r="J85" s="156" t="s">
        <v>99</v>
      </c>
    </row>
    <row r="86" spans="1:10" ht="6" customHeight="1" x14ac:dyDescent="0.3">
      <c r="A86" s="93"/>
      <c r="B86" s="93"/>
      <c r="C86" s="93"/>
      <c r="D86" s="111"/>
      <c r="E86" s="100"/>
      <c r="F86" s="94"/>
      <c r="G86" s="106"/>
      <c r="H86" s="93"/>
      <c r="I86" s="90"/>
      <c r="J86" s="156"/>
    </row>
    <row r="87" spans="1:10" s="57" customFormat="1" ht="20.100000000000001" customHeight="1" x14ac:dyDescent="0.3">
      <c r="A87" s="114" t="s">
        <v>61</v>
      </c>
      <c r="B87" s="127"/>
      <c r="C87" s="114"/>
      <c r="D87" s="117" t="s">
        <v>35</v>
      </c>
      <c r="E87" s="124" t="str">
        <f>IF(AuswahlBetragsartEinkommenNST=0,"",IF(AuswahlEinkommensjahr=0,"",ROUND(25%*G63,2)))</f>
        <v/>
      </c>
      <c r="F87" s="120"/>
      <c r="G87" s="147" t="s">
        <v>32</v>
      </c>
      <c r="H87" s="96"/>
      <c r="I87" s="90"/>
      <c r="J87" s="156"/>
    </row>
    <row r="88" spans="1:10" s="55" customFormat="1" ht="6" customHeight="1" x14ac:dyDescent="0.3">
      <c r="A88" s="105"/>
      <c r="B88" s="105"/>
      <c r="C88" s="105"/>
      <c r="D88" s="111"/>
      <c r="E88" s="107"/>
      <c r="F88" s="107"/>
      <c r="G88" s="147"/>
      <c r="H88" s="100"/>
      <c r="I88" s="90"/>
      <c r="J88" s="156"/>
    </row>
    <row r="89" spans="1:10" s="31" customFormat="1" ht="20.100000000000001" customHeight="1" x14ac:dyDescent="0.3">
      <c r="A89" s="114" t="s">
        <v>51</v>
      </c>
      <c r="B89" s="127"/>
      <c r="C89" s="114"/>
      <c r="D89" s="117"/>
      <c r="E89" s="68">
        <f>MAX(E85,E87)</f>
        <v>0</v>
      </c>
      <c r="F89" s="117" t="s">
        <v>44</v>
      </c>
      <c r="G89" s="130">
        <f>E89</f>
        <v>0</v>
      </c>
      <c r="H89" s="102"/>
      <c r="I89" s="90"/>
      <c r="J89" s="156"/>
    </row>
    <row r="90" spans="1:10" ht="6" customHeight="1" x14ac:dyDescent="0.3">
      <c r="A90" s="93"/>
      <c r="B90" s="93"/>
      <c r="C90" s="93"/>
      <c r="D90" s="111"/>
      <c r="E90" s="100"/>
      <c r="F90" s="94"/>
      <c r="G90" s="106"/>
      <c r="H90" s="93"/>
      <c r="I90" s="90"/>
      <c r="J90" s="85"/>
    </row>
    <row r="91" spans="1:10" s="69" customFormat="1" ht="20.100000000000001" customHeight="1" x14ac:dyDescent="0.3">
      <c r="A91" s="125" t="s">
        <v>72</v>
      </c>
      <c r="B91" s="125"/>
      <c r="C91" s="103"/>
      <c r="D91" s="128"/>
      <c r="E91" s="129"/>
      <c r="F91" s="128" t="s">
        <v>35</v>
      </c>
      <c r="G91" s="131" t="str">
        <f>IF(AuswahlEinkommensjahr=0,"",IF(AuswahlBetragsartEinkommenNST=0,"",ROUND(G63-G89,2)))</f>
        <v/>
      </c>
      <c r="H91" s="103"/>
      <c r="I91" s="90"/>
      <c r="J91" s="85" t="s">
        <v>79</v>
      </c>
    </row>
    <row r="92" spans="1:10" ht="18" customHeight="1" x14ac:dyDescent="0.3">
      <c r="A92" s="93"/>
      <c r="B92" s="93"/>
      <c r="C92" s="93"/>
      <c r="D92" s="94"/>
      <c r="E92" s="93"/>
      <c r="F92" s="94"/>
      <c r="G92" s="93"/>
      <c r="H92" s="93"/>
      <c r="I92" s="90"/>
      <c r="J92" s="85"/>
    </row>
    <row r="93" spans="1:10" ht="20.100000000000001" customHeight="1" x14ac:dyDescent="0.3">
      <c r="A93" s="59" t="s">
        <v>144</v>
      </c>
      <c r="B93" s="59"/>
      <c r="C93" s="59"/>
      <c r="D93" s="59"/>
      <c r="E93" s="59"/>
      <c r="F93" s="59"/>
      <c r="G93" s="59"/>
      <c r="H93" s="93"/>
      <c r="I93" s="90"/>
      <c r="J93" s="85"/>
    </row>
    <row r="94" spans="1:10" ht="18" customHeight="1" x14ac:dyDescent="0.3">
      <c r="A94" s="93"/>
      <c r="B94" s="93"/>
      <c r="C94" s="93"/>
      <c r="D94" s="94"/>
      <c r="E94" s="93"/>
      <c r="F94" s="94"/>
      <c r="G94" s="93"/>
      <c r="H94" s="93"/>
      <c r="I94" s="90"/>
      <c r="J94" s="85"/>
    </row>
    <row r="95" spans="1:10" s="27" customFormat="1" ht="20.100000000000001" customHeight="1" x14ac:dyDescent="0.3">
      <c r="A95" s="114" t="s">
        <v>124</v>
      </c>
      <c r="B95" s="148" t="s">
        <v>52</v>
      </c>
      <c r="C95" s="148"/>
      <c r="D95" s="148"/>
      <c r="E95" s="163" t="str">
        <f>"(Beitragsstufe " &amp; Auswahlwerte!B25 &amp; " der KostenbeitragsVO)"</f>
        <v>(Beitragsstufe 0 der KostenbeitragsVO)</v>
      </c>
      <c r="F95" s="163"/>
      <c r="G95" s="163"/>
      <c r="H95" s="104"/>
      <c r="I95" s="90" t="str">
        <f>IF(Beitragsstufe=0,"Bitte Auswahl treffen!","")</f>
        <v>Bitte Auswahl treffen!</v>
      </c>
      <c r="J95" s="85" t="s">
        <v>100</v>
      </c>
    </row>
    <row r="96" spans="1:10" ht="18" customHeight="1" x14ac:dyDescent="0.3">
      <c r="A96" s="93"/>
      <c r="B96" s="93"/>
      <c r="C96" s="93"/>
      <c r="D96" s="94"/>
      <c r="E96" s="93"/>
      <c r="F96" s="94"/>
      <c r="G96" s="93"/>
      <c r="H96" s="93"/>
      <c r="I96" s="90"/>
      <c r="J96" s="85"/>
    </row>
    <row r="97" spans="1:10" s="27" customFormat="1" ht="20.100000000000001" customHeight="1" x14ac:dyDescent="0.3">
      <c r="A97" s="114" t="str">
        <f>"Das Einkommen von " &amp; TEXT(MaßgeblEinkommen,"#.##0,00 €") &amp; " entspricht in der Kostenbeitragstabelle zunächst der Einkommensgruppe " &amp; Parameter!B39 &amp; "   " &amp; VorlEinkGruppeBez &amp;"."</f>
        <v>Das Einkommen von  entspricht in der Kostenbeitragstabelle zunächst der Einkommensgruppe 0   (über 10.000,99 €).</v>
      </c>
      <c r="B97" s="104"/>
      <c r="C97" s="104"/>
      <c r="D97" s="132"/>
      <c r="E97" s="114"/>
      <c r="F97" s="114"/>
      <c r="G97" s="117"/>
      <c r="H97" s="104"/>
      <c r="I97" s="90"/>
      <c r="J97" s="154" t="s">
        <v>104</v>
      </c>
    </row>
    <row r="98" spans="1:10" ht="6" customHeight="1" x14ac:dyDescent="0.3">
      <c r="A98" s="93"/>
      <c r="B98" s="93"/>
      <c r="C98" s="93"/>
      <c r="D98" s="94"/>
      <c r="E98" s="93"/>
      <c r="F98" s="94"/>
      <c r="G98" s="93"/>
      <c r="H98" s="93"/>
      <c r="I98" s="90"/>
      <c r="J98" s="154"/>
    </row>
    <row r="99" spans="1:10" s="27" customFormat="1" ht="20.100000000000001" customHeight="1" x14ac:dyDescent="0.3">
      <c r="A99" s="114" t="s">
        <v>119</v>
      </c>
      <c r="B99" s="114"/>
      <c r="C99" s="114"/>
      <c r="D99" s="114"/>
      <c r="E99" s="114"/>
      <c r="F99" s="111"/>
      <c r="G99" s="79">
        <v>0</v>
      </c>
      <c r="H99" s="104"/>
      <c r="I99" s="90" t="str">
        <f>IF(AnzWeitereUHBerechtigte="","Bitte Anzahl oder 0 eingeben!","")</f>
        <v/>
      </c>
      <c r="J99" s="154"/>
    </row>
    <row r="100" spans="1:10" ht="6" customHeight="1" x14ac:dyDescent="0.3">
      <c r="A100" s="93"/>
      <c r="B100" s="93"/>
      <c r="C100" s="93"/>
      <c r="D100" s="94"/>
      <c r="E100" s="93"/>
      <c r="F100" s="94"/>
      <c r="G100" s="94"/>
      <c r="H100" s="93"/>
      <c r="I100" s="90"/>
      <c r="J100" s="85"/>
    </row>
    <row r="101" spans="1:10" s="27" customFormat="1" ht="20.100000000000001" customHeight="1" x14ac:dyDescent="0.3">
      <c r="A101" s="114" t="s">
        <v>120</v>
      </c>
      <c r="B101" s="104"/>
      <c r="C101" s="104"/>
      <c r="D101" s="111"/>
      <c r="E101" s="104"/>
      <c r="F101" s="111"/>
      <c r="G101" s="117"/>
      <c r="H101" s="104"/>
      <c r="I101" s="90"/>
      <c r="J101" s="156" t="s">
        <v>121</v>
      </c>
    </row>
    <row r="102" spans="1:10" ht="20.100000000000001" customHeight="1" x14ac:dyDescent="0.3">
      <c r="A102" s="114" t="str">
        <f>"Einkommensgruppe zuzuordnen, bei den Einkommensgruppen 7 bis 18 je Unterhaltspflicht eine um 1 Stufe niedrigere Gruppe. "</f>
        <v xml:space="preserve">Einkommensgruppe zuzuordnen, bei den Einkommensgruppen 7 bis 18 je Unterhaltspflicht eine um 1 Stufe niedrigere Gruppe. </v>
      </c>
      <c r="B102" s="93"/>
      <c r="C102" s="93"/>
      <c r="D102" s="94"/>
      <c r="E102" s="93"/>
      <c r="F102" s="94"/>
      <c r="G102" s="117"/>
      <c r="H102" s="93"/>
      <c r="I102" s="90"/>
      <c r="J102" s="156"/>
    </row>
    <row r="103" spans="1:10" ht="6" customHeight="1" x14ac:dyDescent="0.3">
      <c r="A103" s="93"/>
      <c r="B103" s="93"/>
      <c r="C103" s="93"/>
      <c r="D103" s="94"/>
      <c r="E103" s="93"/>
      <c r="F103" s="94"/>
      <c r="G103" s="93"/>
      <c r="H103" s="93"/>
      <c r="I103" s="90"/>
      <c r="J103" s="156"/>
    </row>
    <row r="104" spans="1:10" ht="20.100000000000001" customHeight="1" x14ac:dyDescent="0.3">
      <c r="A104" s="114" t="str">
        <f>IF(Beitragsstufe=0,"",IF(DATEDIF(GeburtsdatumJM,Berechnungsbeginn,"D")&gt;=6574,"Falsche Vorlage, junger Mensch ist volljährig!",IF(MaßgeblEinkGruppe&gt;=28,"Gem. § 5 "&amp;VLOOKUP(Beitragsstufe,Parameter!B48:E51,4,0)&amp;" KostenbeitragsVO sind in Einkommensgruppe 28 jedoch generell als Kostenbeitrag "&amp;VLOOKUP(Beitragsstufe,Parameter!B48:C51,2,0)&amp;"%","Daraus ergibt sich:")))</f>
        <v/>
      </c>
      <c r="B104" s="93"/>
      <c r="C104" s="93"/>
      <c r="D104" s="94"/>
      <c r="E104" s="114"/>
      <c r="F104" s="94"/>
      <c r="G104" s="93"/>
      <c r="H104" s="93"/>
      <c r="I104" s="90"/>
      <c r="J104" s="156"/>
    </row>
    <row r="105" spans="1:10" ht="20.100000000000001" customHeight="1" x14ac:dyDescent="0.3">
      <c r="A105" s="114" t="str">
        <f>IF(Beitragsstufe=0,"",IF(MaßgeblEinkGruppe&gt;=28,"des maßgeblichen Einkommens von "&amp;TEXT(MaßgeblEinkommen,"#.##0,00 €")&amp;" zu verlangen. Daraus ergibt sich:",""))</f>
        <v/>
      </c>
      <c r="B105" s="93"/>
      <c r="C105" s="93"/>
      <c r="D105" s="94"/>
      <c r="E105" s="114"/>
      <c r="F105" s="94"/>
      <c r="G105" s="147" t="s">
        <v>32</v>
      </c>
      <c r="H105" s="93"/>
      <c r="I105" s="90"/>
      <c r="J105" s="86"/>
    </row>
    <row r="106" spans="1:10" ht="6" customHeight="1" x14ac:dyDescent="0.3">
      <c r="A106" s="93"/>
      <c r="B106" s="93"/>
      <c r="C106" s="93"/>
      <c r="D106" s="94"/>
      <c r="E106" s="93"/>
      <c r="F106" s="94"/>
      <c r="G106" s="147"/>
      <c r="H106" s="93"/>
      <c r="I106" s="90"/>
      <c r="J106" s="85"/>
    </row>
    <row r="107" spans="1:10" s="27" customFormat="1" ht="20.100000000000001" customHeight="1" x14ac:dyDescent="0.3">
      <c r="A107" s="114" t="str">
        <f>"Kostenbeitrag nach Beitragsstufe " &amp; Beitragsstufe &amp; ", Gruppe " &amp; MaßgeblEinkGruppe &amp; " der Kostenbeitragstabelle"</f>
        <v>Kostenbeitrag nach Beitragsstufe 0, Gruppe 1 der Kostenbeitragstabelle</v>
      </c>
      <c r="B107" s="104"/>
      <c r="C107" s="104"/>
      <c r="D107" s="111"/>
      <c r="E107" s="104"/>
      <c r="F107" s="111"/>
      <c r="G107" s="68">
        <f>IF(Beitragsstufe=0,0,IF(MaßgeblEinkGruppe&gt;=28,VLOOKUP(Beitragsstufe,Parameter!B48:D51,3,0),VLOOKUP(Beitragsstufe,Auswahlwerte!B26:C30,2,0)))</f>
        <v>0</v>
      </c>
      <c r="H107" s="104"/>
      <c r="I107" s="90"/>
      <c r="J107" s="166" t="s">
        <v>145</v>
      </c>
    </row>
    <row r="108" spans="1:10" ht="20.100000000000001" customHeight="1" x14ac:dyDescent="0.3">
      <c r="A108" s="93"/>
      <c r="B108" s="93"/>
      <c r="C108" s="93"/>
      <c r="D108" s="94"/>
      <c r="E108" s="93"/>
      <c r="F108" s="94"/>
      <c r="G108" s="93"/>
      <c r="H108" s="93"/>
      <c r="I108" s="136"/>
      <c r="J108" s="166"/>
    </row>
    <row r="109" spans="1:10" s="27" customFormat="1" ht="20.100000000000001" customHeight="1" x14ac:dyDescent="0.3">
      <c r="A109" s="95" t="s">
        <v>146</v>
      </c>
      <c r="B109" s="104"/>
      <c r="C109" s="104"/>
      <c r="D109" s="111"/>
      <c r="E109" s="104"/>
      <c r="F109" s="111"/>
      <c r="G109" s="139"/>
      <c r="H109" s="104"/>
      <c r="I109" s="136"/>
      <c r="J109" s="87"/>
    </row>
    <row r="110" spans="1:10" ht="6" customHeight="1" x14ac:dyDescent="0.3">
      <c r="A110" s="93"/>
      <c r="B110" s="93"/>
      <c r="C110" s="93"/>
      <c r="D110" s="94"/>
      <c r="E110" s="93"/>
      <c r="F110" s="94"/>
      <c r="G110" s="93"/>
      <c r="H110" s="93"/>
      <c r="I110" s="136"/>
      <c r="J110" s="166" t="s">
        <v>153</v>
      </c>
    </row>
    <row r="111" spans="1:10" s="27" customFormat="1" ht="20.100000000000001" customHeight="1" x14ac:dyDescent="0.3">
      <c r="A111" s="148" t="s">
        <v>52</v>
      </c>
      <c r="B111" s="148"/>
      <c r="C111" s="148"/>
      <c r="D111" s="111"/>
      <c r="E111" s="114" t="str">
        <f>IF(Auswahlwerte!B33=0,"",IF(Auswahlwerte!B33&lt;&gt;2,"keine ",Auswahlwerte!C33&amp;"% ")&amp;"Freilassung")</f>
        <v/>
      </c>
      <c r="F111" s="111" t="s">
        <v>44</v>
      </c>
      <c r="G111" s="130">
        <f>G107*Auswahlwerte!C33/100</f>
        <v>0</v>
      </c>
      <c r="H111" s="104"/>
      <c r="I111" s="136" t="str">
        <f>IF(OR(Auswahlwerte!B33=0,Auswahlwerte!B33="")=TRUE,"Bitte Auswahl treffen!","")</f>
        <v>Bitte Auswahl treffen!</v>
      </c>
      <c r="J111" s="166"/>
    </row>
    <row r="112" spans="1:10" ht="20.100000000000001" customHeight="1" thickBot="1" x14ac:dyDescent="0.35">
      <c r="A112" s="93"/>
      <c r="B112" s="93"/>
      <c r="C112" s="93"/>
      <c r="D112" s="94"/>
      <c r="E112" s="93"/>
      <c r="F112" s="94"/>
      <c r="G112" s="93"/>
      <c r="H112" s="93"/>
      <c r="I112" s="136"/>
      <c r="J112" s="166"/>
    </row>
    <row r="113" spans="1:10" s="27" customFormat="1" ht="20.100000000000001" customHeight="1" thickBot="1" x14ac:dyDescent="0.35">
      <c r="A113" s="125" t="s">
        <v>143</v>
      </c>
      <c r="B113" s="104"/>
      <c r="C113" s="104"/>
      <c r="D113" s="111"/>
      <c r="E113" s="104"/>
      <c r="F113" s="111"/>
      <c r="G113" s="70">
        <f>G107-G111</f>
        <v>0</v>
      </c>
      <c r="H113" s="104"/>
      <c r="I113" s="167" t="str">
        <f>IF(OR(Berechnungsbeginn="",GeburtsdatumJM="",Auswahlwerte!B3=0,EinkommenVon="",EinkommenBis="",Einkommensmonate="",BetragsartEinkommenNST="",Auswahlwerte!B25=0,AnzWeitereUHBerechtigte="",Auswahlwerte!B33=0)=TRUE,"In mindestens einem Pflichtfeld fehlt eine Angabe/Auswahl!","")</f>
        <v>In mindestens einem Pflichtfeld fehlt eine Angabe/Auswahl!</v>
      </c>
      <c r="J113" s="87"/>
    </row>
    <row r="114" spans="1:10" s="27" customFormat="1" ht="20.100000000000001" customHeight="1" x14ac:dyDescent="0.3">
      <c r="A114" s="104"/>
      <c r="B114" s="104"/>
      <c r="C114" s="104"/>
      <c r="D114" s="111"/>
      <c r="E114" s="104"/>
      <c r="F114" s="111"/>
      <c r="G114" s="104"/>
      <c r="H114" s="104"/>
      <c r="I114" s="167"/>
      <c r="J114" s="87"/>
    </row>
    <row r="115" spans="1:10" s="27" customFormat="1" ht="20.100000000000001" customHeight="1" x14ac:dyDescent="0.3">
      <c r="A115" s="59" t="s">
        <v>118</v>
      </c>
      <c r="B115" s="59"/>
      <c r="C115" s="59"/>
      <c r="D115" s="59"/>
      <c r="E115" s="59"/>
      <c r="F115" s="59"/>
      <c r="G115" s="59"/>
      <c r="H115" s="104"/>
      <c r="I115" s="90"/>
      <c r="J115" s="87"/>
    </row>
    <row r="116" spans="1:10" s="27" customFormat="1" ht="6" customHeight="1" x14ac:dyDescent="0.3">
      <c r="A116" s="104"/>
      <c r="B116" s="104"/>
      <c r="C116" s="104"/>
      <c r="D116" s="111"/>
      <c r="E116" s="104"/>
      <c r="F116" s="111"/>
      <c r="G116" s="104"/>
      <c r="H116" s="104"/>
      <c r="I116" s="90"/>
      <c r="J116" s="87"/>
    </row>
    <row r="117" spans="1:10" s="27" customFormat="1" ht="20.100000000000001" customHeight="1" x14ac:dyDescent="0.3">
      <c r="A117" s="168"/>
      <c r="B117" s="168"/>
      <c r="C117" s="168"/>
      <c r="D117" s="168"/>
      <c r="E117" s="168"/>
      <c r="F117" s="168"/>
      <c r="G117" s="168"/>
      <c r="H117" s="104"/>
      <c r="I117" s="90"/>
      <c r="J117" s="164" t="s">
        <v>122</v>
      </c>
    </row>
    <row r="118" spans="1:10" s="27" customFormat="1" ht="20.100000000000001" customHeight="1" x14ac:dyDescent="0.3">
      <c r="A118" s="168"/>
      <c r="B118" s="168"/>
      <c r="C118" s="168"/>
      <c r="D118" s="168"/>
      <c r="E118" s="168"/>
      <c r="F118" s="168"/>
      <c r="G118" s="168"/>
      <c r="H118" s="104"/>
      <c r="I118" s="90"/>
      <c r="J118" s="164"/>
    </row>
    <row r="119" spans="1:10" s="27" customFormat="1" ht="20.100000000000001" customHeight="1" x14ac:dyDescent="0.3">
      <c r="A119" s="168"/>
      <c r="B119" s="168"/>
      <c r="C119" s="168"/>
      <c r="D119" s="168"/>
      <c r="E119" s="168"/>
      <c r="F119" s="168"/>
      <c r="G119" s="168"/>
      <c r="H119" s="104"/>
      <c r="I119" s="90"/>
      <c r="J119" s="164"/>
    </row>
    <row r="120" spans="1:10" s="27" customFormat="1" ht="20.100000000000001" customHeight="1" x14ac:dyDescent="0.3">
      <c r="A120" s="169"/>
      <c r="B120" s="169"/>
      <c r="C120" s="169"/>
      <c r="D120" s="169"/>
      <c r="E120" s="169"/>
      <c r="F120" s="169"/>
      <c r="G120" s="169"/>
      <c r="H120" s="104"/>
      <c r="I120" s="90"/>
      <c r="J120" s="164"/>
    </row>
    <row r="121" spans="1:10" s="27" customFormat="1" ht="20.100000000000001" customHeight="1" x14ac:dyDescent="0.3">
      <c r="A121" s="133"/>
      <c r="B121" s="133"/>
      <c r="C121" s="133"/>
      <c r="D121" s="133"/>
      <c r="E121" s="133"/>
      <c r="F121" s="133"/>
      <c r="G121" s="133"/>
      <c r="H121" s="104"/>
      <c r="I121" s="91"/>
      <c r="J121" s="85"/>
    </row>
    <row r="122" spans="1:10" s="27" customFormat="1" ht="21.9" customHeight="1" x14ac:dyDescent="0.3">
      <c r="A122" s="104"/>
      <c r="B122" s="104"/>
      <c r="C122" s="104"/>
      <c r="D122" s="111"/>
      <c r="E122" s="104"/>
      <c r="F122" s="111"/>
      <c r="G122" s="104"/>
      <c r="H122" s="104"/>
      <c r="I122" s="90"/>
      <c r="J122" s="89"/>
    </row>
    <row r="123" spans="1:10" s="27" customFormat="1" ht="21.9" customHeight="1" x14ac:dyDescent="0.3">
      <c r="A123" s="59" t="s">
        <v>86</v>
      </c>
      <c r="B123" s="59"/>
      <c r="C123" s="59"/>
      <c r="D123" s="59"/>
      <c r="E123" s="59"/>
      <c r="F123" s="59"/>
      <c r="G123" s="59"/>
      <c r="H123" s="104"/>
      <c r="I123" s="90"/>
      <c r="J123" s="89"/>
    </row>
    <row r="124" spans="1:10" s="27" customFormat="1" ht="6" customHeight="1" x14ac:dyDescent="0.3">
      <c r="A124" s="104"/>
      <c r="B124" s="104"/>
      <c r="C124" s="104"/>
      <c r="D124" s="111"/>
      <c r="E124" s="104"/>
      <c r="F124" s="111"/>
      <c r="G124" s="104"/>
      <c r="H124" s="104"/>
      <c r="I124" s="90"/>
      <c r="J124" s="89"/>
    </row>
    <row r="125" spans="1:10" s="27" customFormat="1" ht="21.9" customHeight="1" x14ac:dyDescent="0.3">
      <c r="A125" s="71" t="s">
        <v>116</v>
      </c>
      <c r="B125" s="160" t="s">
        <v>117</v>
      </c>
      <c r="C125" s="160"/>
      <c r="D125" s="160"/>
      <c r="E125" s="160" t="str">
        <f>"Kostenbeitrag in Beitragsstufe " &amp; Beitragsstufe</f>
        <v>Kostenbeitrag in Beitragsstufe 0</v>
      </c>
      <c r="F125" s="160"/>
      <c r="G125" s="160"/>
      <c r="H125" s="104"/>
      <c r="I125" s="90"/>
      <c r="J125" s="89"/>
    </row>
    <row r="126" spans="1:10" s="27" customFormat="1" ht="21.9" customHeight="1" x14ac:dyDescent="0.3">
      <c r="A126" s="72" t="str">
        <f>"Gruppe " &amp; Parameter!A10 &amp; IF(Parameter!A10=VorlEinkommensgruppe," &lt; EK-Gruppe","") &amp; IF(Parameter!A10=MaßgeblEinkGruppe," &lt; Endgültige Zuordnung","")</f>
        <v>Gruppe 1 &lt; Endgültige Zuordnung</v>
      </c>
      <c r="B126" s="165" t="str">
        <f>"0,00 € bis " &amp; TEXT(Parameter!B10,"#.##0,00 €")</f>
        <v>0,00 € bis 1.100,99 €</v>
      </c>
      <c r="C126" s="165"/>
      <c r="D126" s="165"/>
      <c r="E126" s="159" t="str">
        <f>IF(Parameter!A10=MaßgeblEinkGruppe," Ihr Kostenbeitrag &gt;&gt;  ","") &amp; TEXT(IF(Beitragsstufe=1,Parameter!C10,IF(Beitragsstufe=2,Parameter!D10,IF(Beitragsstufe=3,Parameter!E10,IF(Beitragsstufe=4,Parameter!F10,0)))),"#.##0,00 €")</f>
        <v xml:space="preserve"> Ihr Kostenbeitrag &gt;&gt;  0,00 €</v>
      </c>
      <c r="F126" s="159"/>
      <c r="G126" s="159"/>
      <c r="H126" s="104"/>
      <c r="I126" s="90"/>
      <c r="J126" s="89"/>
    </row>
    <row r="127" spans="1:10" s="27" customFormat="1" ht="21.9" customHeight="1" x14ac:dyDescent="0.3">
      <c r="A127" s="72" t="str">
        <f>"Gruppe " &amp; Parameter!A11 &amp; IF(Parameter!A11=VorlEinkommensgruppe," &lt; EK-Gruppe","") &amp; IF(Parameter!A11=MaßgeblEinkGruppe," &lt; Endgültige Zuordnung","")</f>
        <v>Gruppe 2</v>
      </c>
      <c r="B127" s="165" t="str">
        <f>TEXT(Parameter!B10+0.01,"#.##0,00 €")&amp; " bis " &amp; TEXT(Parameter!B11,"#.##0,00 €")</f>
        <v>1.101,00 € bis 1.200,99 €</v>
      </c>
      <c r="C127" s="165"/>
      <c r="D127" s="165"/>
      <c r="E127" s="159" t="str">
        <f>IF(Parameter!A11=MaßgeblEinkGruppe," Ihr Kostenbeitrag &gt;&gt;  ","") &amp; TEXT(IF(Beitragsstufe=1,Parameter!C11,IF(Beitragsstufe=2,Parameter!D11,IF(Beitragsstufe=3,Parameter!E11,IF(Beitragsstufe=4,Parameter!F11,0)))),"#.##0,00 €")</f>
        <v>0,00 €</v>
      </c>
      <c r="F127" s="159"/>
      <c r="G127" s="159"/>
      <c r="H127" s="104"/>
      <c r="I127" s="90"/>
      <c r="J127" s="89"/>
    </row>
    <row r="128" spans="1:10" s="27" customFormat="1" ht="21.9" customHeight="1" x14ac:dyDescent="0.3">
      <c r="A128" s="72" t="str">
        <f>"Gruppe " &amp; Parameter!A12 &amp; IF(Parameter!A12=VorlEinkommensgruppe," &lt; EK-Gruppe","") &amp; IF(Parameter!A12=MaßgeblEinkGruppe," &lt; Endgültige Zuordnung","")</f>
        <v>Gruppe 3</v>
      </c>
      <c r="B128" s="165" t="str">
        <f>TEXT(Parameter!B11+0.01,"#.##0,00 €")&amp; " bis " &amp; TEXT(Parameter!B12,"#.##0,00 €")</f>
        <v>1.201,00 € bis 1.300,99 €</v>
      </c>
      <c r="C128" s="165"/>
      <c r="D128" s="165"/>
      <c r="E128" s="159" t="str">
        <f>IF(Parameter!A12=MaßgeblEinkGruppe," Ihr Kostenbeitrag &gt;&gt;  ","") &amp; TEXT(IF(Beitragsstufe=1,Parameter!C12,IF(Beitragsstufe=2,Parameter!D12,IF(Beitragsstufe=3,Parameter!E12,IF(Beitragsstufe=4,Parameter!F12,0)))),"#.##0,00 €")</f>
        <v>0,00 €</v>
      </c>
      <c r="F128" s="159"/>
      <c r="G128" s="159"/>
      <c r="H128" s="104"/>
      <c r="I128" s="90"/>
      <c r="J128" s="89"/>
    </row>
    <row r="129" spans="1:10" s="27" customFormat="1" ht="21.9" customHeight="1" x14ac:dyDescent="0.3">
      <c r="A129" s="72" t="str">
        <f>"Gruppe " &amp; Parameter!A13 &amp; IF(Parameter!A13=VorlEinkommensgruppe," &lt; EK-Gruppe","") &amp; IF(Parameter!A13=MaßgeblEinkGruppe," &lt; Endgültige Zuordnung","")</f>
        <v>Gruppe 4</v>
      </c>
      <c r="B129" s="165" t="str">
        <f>TEXT(Parameter!B12+0.01,"#.##0,00 €")&amp; " bis " &amp; TEXT(Parameter!B13,"#.##0,00 €")</f>
        <v>1.301,00 € bis 1.450,99 €</v>
      </c>
      <c r="C129" s="165"/>
      <c r="D129" s="165"/>
      <c r="E129" s="159" t="str">
        <f>IF(Parameter!A13=MaßgeblEinkGruppe," Ihr Kostenbeitrag &gt;&gt;  ","") &amp; TEXT(IF(Beitragsstufe=1,Parameter!C13,IF(Beitragsstufe=2,Parameter!D13,IF(Beitragsstufe=3,Parameter!E13,IF(Beitragsstufe=4,Parameter!F13,0)))),"#.##0,00 €")</f>
        <v>0,00 €</v>
      </c>
      <c r="F129" s="159"/>
      <c r="G129" s="159"/>
      <c r="H129" s="104"/>
      <c r="I129" s="90"/>
      <c r="J129" s="89"/>
    </row>
    <row r="130" spans="1:10" s="27" customFormat="1" ht="21.9" customHeight="1" x14ac:dyDescent="0.3">
      <c r="A130" s="72" t="str">
        <f>"Gruppe " &amp; Parameter!A14 &amp; IF(Parameter!A14=VorlEinkommensgruppe," &lt; EK-Gruppe","") &amp; IF(Parameter!A14=MaßgeblEinkGruppe," &lt; Endgültige Zuordnung","")</f>
        <v>Gruppe 5</v>
      </c>
      <c r="B130" s="165" t="str">
        <f>TEXT(Parameter!B13+0.01,"#.##0,00 €")&amp; " bis " &amp; TEXT(Parameter!B14,"#.##0,00 €")</f>
        <v>1.451,00 € bis 1.600,99 €</v>
      </c>
      <c r="C130" s="165"/>
      <c r="D130" s="165"/>
      <c r="E130" s="159" t="str">
        <f>IF(Parameter!A14=MaßgeblEinkGruppe," Ihr Kostenbeitrag &gt;&gt;  ","") &amp; TEXT(IF(Beitragsstufe=1,Parameter!C14,IF(Beitragsstufe=2,Parameter!D14,IF(Beitragsstufe=3,Parameter!E14,IF(Beitragsstufe=4,Parameter!F14,0)))),"#.##0,00 €")</f>
        <v>0,00 €</v>
      </c>
      <c r="F130" s="159"/>
      <c r="G130" s="159"/>
      <c r="H130" s="104"/>
      <c r="I130" s="90"/>
      <c r="J130" s="89"/>
    </row>
    <row r="131" spans="1:10" s="27" customFormat="1" ht="21.9" customHeight="1" x14ac:dyDescent="0.3">
      <c r="A131" s="72" t="str">
        <f>"Gruppe " &amp; Parameter!A15 &amp; IF(Parameter!A15=VorlEinkommensgruppe," &lt; EK-Gruppe","") &amp; IF(Parameter!A15=MaßgeblEinkGruppe," &lt; Endgültige Zuordnung","")</f>
        <v>Gruppe 6</v>
      </c>
      <c r="B131" s="165" t="str">
        <f>TEXT(Parameter!B14+0.01,"#.##0,00 €")&amp; " bis " &amp; TEXT(Parameter!B15,"#.##0,00 €")</f>
        <v>1.601,00 € bis 1.800,99 €</v>
      </c>
      <c r="C131" s="165"/>
      <c r="D131" s="165"/>
      <c r="E131" s="159" t="str">
        <f>IF(Parameter!A15=MaßgeblEinkGruppe," Ihr Kostenbeitrag &gt;&gt;  ","") &amp; TEXT(IF(Beitragsstufe=1,Parameter!C15,IF(Beitragsstufe=2,Parameter!D15,IF(Beitragsstufe=3,Parameter!E15,IF(Beitragsstufe=4,Parameter!F15,0)))),"#.##0,00 €")</f>
        <v>0,00 €</v>
      </c>
      <c r="F131" s="159"/>
      <c r="G131" s="159"/>
      <c r="H131" s="104"/>
      <c r="I131" s="90"/>
      <c r="J131" s="89"/>
    </row>
    <row r="132" spans="1:10" s="27" customFormat="1" ht="21.9" customHeight="1" x14ac:dyDescent="0.3">
      <c r="A132" s="72" t="str">
        <f>"Gruppe " &amp; Parameter!A16 &amp; IF(Parameter!A16=VorlEinkommensgruppe," &lt; EK-Gruppe","") &amp; IF(Parameter!A16=MaßgeblEinkGruppe," &lt; Endgültige Zuordnung","")</f>
        <v>Gruppe 7</v>
      </c>
      <c r="B132" s="165" t="str">
        <f>TEXT(Parameter!B15+0.01,"#.##0,00 €")&amp; " bis " &amp; TEXT(Parameter!B16,"#.##0,00 €")</f>
        <v>1.801,00 € bis 2.000,99 €</v>
      </c>
      <c r="C132" s="165"/>
      <c r="D132" s="165"/>
      <c r="E132" s="159" t="str">
        <f>IF(Parameter!A16=MaßgeblEinkGruppe," Ihr Kostenbeitrag &gt;&gt;  ","") &amp; TEXT(IF(Beitragsstufe=1,Parameter!C16,IF(Beitragsstufe=2,Parameter!D16,IF(Beitragsstufe=3,Parameter!E16,IF(Beitragsstufe=4,Parameter!F16,0)))),"#.##0,00 €")</f>
        <v>0,00 €</v>
      </c>
      <c r="F132" s="159"/>
      <c r="G132" s="159"/>
      <c r="H132" s="104"/>
      <c r="I132" s="90"/>
      <c r="J132" s="89"/>
    </row>
    <row r="133" spans="1:10" s="27" customFormat="1" ht="21.9" customHeight="1" x14ac:dyDescent="0.3">
      <c r="A133" s="72" t="str">
        <f>"Gruppe " &amp; Parameter!A17 &amp; IF(Parameter!A17=VorlEinkommensgruppe," &lt; EK-Gruppe","") &amp; IF(Parameter!A17=MaßgeblEinkGruppe," &lt; Endgültige Zuordnung","")</f>
        <v>Gruppe 8</v>
      </c>
      <c r="B133" s="165" t="str">
        <f>TEXT(Parameter!B16+0.01,"#.##0,00 €")&amp; " bis " &amp; TEXT(Parameter!B17,"#.##0,00 €")</f>
        <v>2.001,00 € bis 2.200,99 €</v>
      </c>
      <c r="C133" s="165"/>
      <c r="D133" s="165"/>
      <c r="E133" s="159" t="str">
        <f>IF(Parameter!A17=MaßgeblEinkGruppe," Ihr Kostenbeitrag &gt;&gt;  ","") &amp; TEXT(IF(Beitragsstufe=1,Parameter!C17,IF(Beitragsstufe=2,Parameter!D17,IF(Beitragsstufe=3,Parameter!E17,IF(Beitragsstufe=4,Parameter!F17,0)))),"#.##0,00 €")</f>
        <v>0,00 €</v>
      </c>
      <c r="F133" s="159"/>
      <c r="G133" s="159"/>
      <c r="H133" s="104"/>
      <c r="I133" s="90"/>
      <c r="J133" s="89"/>
    </row>
    <row r="134" spans="1:10" s="27" customFormat="1" ht="21.9" customHeight="1" x14ac:dyDescent="0.3">
      <c r="A134" s="72" t="str">
        <f>"Gruppe " &amp; Parameter!A18 &amp; IF(Parameter!A18=VorlEinkommensgruppe," &lt; EK-Gruppe","") &amp; IF(Parameter!A18=MaßgeblEinkGruppe," &lt; Endgültige Zuordnung","")</f>
        <v>Gruppe 9</v>
      </c>
      <c r="B134" s="165" t="str">
        <f>TEXT(Parameter!B17+0.01,"#.##0,00 €")&amp; " bis " &amp; TEXT(Parameter!B18,"#.##0,00 €")</f>
        <v>2.201,00 € bis 2.400,99 €</v>
      </c>
      <c r="C134" s="165"/>
      <c r="D134" s="165"/>
      <c r="E134" s="159" t="str">
        <f>IF(Parameter!A18=MaßgeblEinkGruppe," Ihr Kostenbeitrag &gt;&gt;  ","") &amp; TEXT(IF(Beitragsstufe=1,Parameter!C18,IF(Beitragsstufe=2,Parameter!D18,IF(Beitragsstufe=3,Parameter!E18,IF(Beitragsstufe=4,Parameter!F18,0)))),"#.##0,00 €")</f>
        <v>0,00 €</v>
      </c>
      <c r="F134" s="159"/>
      <c r="G134" s="159"/>
      <c r="H134" s="104"/>
      <c r="I134" s="90"/>
      <c r="J134" s="89"/>
    </row>
    <row r="135" spans="1:10" s="27" customFormat="1" ht="21.9" customHeight="1" x14ac:dyDescent="0.3">
      <c r="A135" s="72" t="str">
        <f>"Gruppe " &amp; Parameter!A19 &amp; IF(Parameter!A19=VorlEinkommensgruppe," &lt; EK-Gruppe","") &amp; IF(Parameter!A19=MaßgeblEinkGruppe," &lt; Endgültige Zuordnung","")</f>
        <v>Gruppe 10</v>
      </c>
      <c r="B135" s="165" t="str">
        <f>TEXT(Parameter!B18+0.01,"#.##0,00 €")&amp; " bis " &amp; TEXT(Parameter!B19,"#.##0,00 €")</f>
        <v>2.401,00 € bis 2.700,99 €</v>
      </c>
      <c r="C135" s="165"/>
      <c r="D135" s="165"/>
      <c r="E135" s="159" t="str">
        <f>IF(Parameter!A19=MaßgeblEinkGruppe," Ihr Kostenbeitrag &gt;&gt;  ","") &amp; TEXT(IF(Beitragsstufe=1,Parameter!C19,IF(Beitragsstufe=2,Parameter!D19,IF(Beitragsstufe=3,Parameter!E19,IF(Beitragsstufe=4,Parameter!F19,0)))),"#.##0,00 €")</f>
        <v>0,00 €</v>
      </c>
      <c r="F135" s="159"/>
      <c r="G135" s="159"/>
      <c r="H135" s="104"/>
      <c r="I135" s="90"/>
      <c r="J135" s="89"/>
    </row>
    <row r="136" spans="1:10" s="27" customFormat="1" ht="21.9" customHeight="1" x14ac:dyDescent="0.3">
      <c r="A136" s="72" t="str">
        <f>"Gruppe " &amp; Parameter!A20 &amp; IF(Parameter!A20=VorlEinkommensgruppe," &lt; EK-Gruppe","") &amp; IF(Parameter!A20=MaßgeblEinkGruppe," &lt; Endgültige Zuordnung","")</f>
        <v>Gruppe 11</v>
      </c>
      <c r="B136" s="165" t="str">
        <f>TEXT(Parameter!B19+0.01,"#.##0,00 €")&amp; " bis " &amp; TEXT(Parameter!B20,"#.##0,00 €")</f>
        <v>2.701,00 € bis 3.000,99 €</v>
      </c>
      <c r="C136" s="165"/>
      <c r="D136" s="165"/>
      <c r="E136" s="159" t="str">
        <f>IF(Parameter!A20=MaßgeblEinkGruppe," Ihr Kostenbeitrag &gt;&gt;  ","") &amp; TEXT(IF(Beitragsstufe=1,Parameter!C20,IF(Beitragsstufe=2,Parameter!D20,IF(Beitragsstufe=3,Parameter!E20,IF(Beitragsstufe=4,Parameter!F20,0)))),"#.##0,00 €")</f>
        <v>0,00 €</v>
      </c>
      <c r="F136" s="159"/>
      <c r="G136" s="159"/>
      <c r="H136" s="104"/>
      <c r="I136" s="90"/>
      <c r="J136" s="89"/>
    </row>
    <row r="137" spans="1:10" s="27" customFormat="1" ht="21.9" customHeight="1" x14ac:dyDescent="0.3">
      <c r="A137" s="72" t="str">
        <f>"Gruppe " &amp; Parameter!A21 &amp; IF(Parameter!A21=VorlEinkommensgruppe," &lt; EK-Gruppe","") &amp; IF(Parameter!A21=MaßgeblEinkGruppe," &lt; Endgültige Zuordnung","")</f>
        <v>Gruppe 12</v>
      </c>
      <c r="B137" s="165" t="str">
        <f>TEXT(Parameter!B20+0.01,"#.##0,00 €")&amp; " bis " &amp; TEXT(Parameter!B21,"#.##0,00 €")</f>
        <v>3.001,00 € bis 3.300,99 €</v>
      </c>
      <c r="C137" s="165"/>
      <c r="D137" s="165"/>
      <c r="E137" s="159" t="str">
        <f>IF(Parameter!A21=MaßgeblEinkGruppe," Ihr Kostenbeitrag &gt;&gt;  ","") &amp; TEXT(IF(Beitragsstufe=1,Parameter!C21,IF(Beitragsstufe=2,Parameter!D21,IF(Beitragsstufe=3,Parameter!E21,IF(Beitragsstufe=4,Parameter!F21,0)))),"#.##0,00 €")</f>
        <v>0,00 €</v>
      </c>
      <c r="F137" s="159"/>
      <c r="G137" s="159"/>
      <c r="H137" s="104"/>
      <c r="I137" s="90"/>
      <c r="J137" s="89"/>
    </row>
    <row r="138" spans="1:10" s="27" customFormat="1" ht="21.9" customHeight="1" x14ac:dyDescent="0.3">
      <c r="A138" s="72" t="str">
        <f>"Gruppe " &amp; Parameter!A22 &amp; IF(Parameter!A22=VorlEinkommensgruppe," &lt; EK-Gruppe","") &amp; IF(Parameter!A22=MaßgeblEinkGruppe," &lt; Endgültige Zuordnung","")</f>
        <v>Gruppe 13</v>
      </c>
      <c r="B138" s="165" t="str">
        <f>TEXT(Parameter!B21+0.01,"#.##0,00 €")&amp; " bis " &amp; TEXT(Parameter!B22,"#.##0,00 €")</f>
        <v>3.301,00 € bis 3.600,99 €</v>
      </c>
      <c r="C138" s="165"/>
      <c r="D138" s="165"/>
      <c r="E138" s="159" t="str">
        <f>IF(Parameter!A22=MaßgeblEinkGruppe," Ihr Kostenbeitrag &gt;&gt;  ","") &amp; TEXT(IF(Beitragsstufe=1,Parameter!C22,IF(Beitragsstufe=2,Parameter!D22,IF(Beitragsstufe=3,Parameter!E22,IF(Beitragsstufe=4,Parameter!F22,0)))),"#.##0,00 €")</f>
        <v>0,00 €</v>
      </c>
      <c r="F138" s="159"/>
      <c r="G138" s="159"/>
      <c r="H138" s="104"/>
      <c r="I138" s="90"/>
      <c r="J138" s="89"/>
    </row>
    <row r="139" spans="1:10" s="27" customFormat="1" ht="21.9" customHeight="1" x14ac:dyDescent="0.3">
      <c r="A139" s="72" t="str">
        <f>"Gruppe " &amp; Parameter!A23 &amp; IF(Parameter!A23=VorlEinkommensgruppe," &lt; EK-Gruppe","") &amp; IF(Parameter!A23=MaßgeblEinkGruppe," &lt; Endgültige Zuordnung","")</f>
        <v>Gruppe 14</v>
      </c>
      <c r="B139" s="165" t="str">
        <f>TEXT(Parameter!B22+0.01,"#.##0,00 €")&amp; " bis " &amp; TEXT(Parameter!B23,"#.##0,00 €")</f>
        <v>3.601,00 € bis 3.900,99 €</v>
      </c>
      <c r="C139" s="165"/>
      <c r="D139" s="165"/>
      <c r="E139" s="159" t="str">
        <f>IF(Parameter!A23=MaßgeblEinkGruppe," Ihr Kostenbeitrag &gt;&gt;  ","") &amp; TEXT(IF(Beitragsstufe=1,Parameter!C23,IF(Beitragsstufe=2,Parameter!D23,IF(Beitragsstufe=3,Parameter!E23,IF(Beitragsstufe=4,Parameter!F23,0)))),"#.##0,00 €")</f>
        <v>0,00 €</v>
      </c>
      <c r="F139" s="159"/>
      <c r="G139" s="159"/>
      <c r="H139" s="104"/>
      <c r="I139" s="90"/>
      <c r="J139" s="89"/>
    </row>
    <row r="140" spans="1:10" s="27" customFormat="1" ht="21.9" customHeight="1" x14ac:dyDescent="0.3">
      <c r="A140" s="72" t="str">
        <f>"Gruppe " &amp; Parameter!A24 &amp; IF(Parameter!A24=VorlEinkommensgruppe," &lt; EK-Gruppe","") &amp; IF(Parameter!A24=MaßgeblEinkGruppe," &lt; Endgültige Zuordnung","")</f>
        <v>Gruppe 15</v>
      </c>
      <c r="B140" s="165" t="str">
        <f>TEXT(Parameter!B23+0.01,"#.##0,00 €")&amp; " bis " &amp; TEXT(Parameter!B24,"#.##0,00 €")</f>
        <v>3.901,00 € bis 4.200,99 €</v>
      </c>
      <c r="C140" s="165"/>
      <c r="D140" s="165"/>
      <c r="E140" s="159" t="str">
        <f>IF(Parameter!A24=MaßgeblEinkGruppe," Ihr Kostenbeitrag &gt;&gt;  ","") &amp; TEXT(IF(Beitragsstufe=1,Parameter!C24,IF(Beitragsstufe=2,Parameter!D24,IF(Beitragsstufe=3,Parameter!E24,IF(Beitragsstufe=4,Parameter!F24,0)))),"#.##0,00 €")</f>
        <v>0,00 €</v>
      </c>
      <c r="F140" s="159"/>
      <c r="G140" s="159"/>
      <c r="H140" s="104"/>
      <c r="I140" s="90"/>
      <c r="J140" s="89"/>
    </row>
    <row r="141" spans="1:10" s="27" customFormat="1" ht="21.9" customHeight="1" x14ac:dyDescent="0.3">
      <c r="A141" s="72" t="str">
        <f>"Gruppe " &amp; Parameter!A25 &amp; IF(Parameter!A25=VorlEinkommensgruppe," &lt; EK-Gruppe","") &amp; IF(Parameter!A25=MaßgeblEinkGruppe," &lt; Endgültige Zuordnung","")</f>
        <v>Gruppe 16</v>
      </c>
      <c r="B141" s="165" t="str">
        <f>TEXT(Parameter!B24+0.01,"#.##0,00 €")&amp; " bis " &amp; TEXT(Parameter!B25,"#.##0,00 €")</f>
        <v>4.201,00 € bis 4.600,99 €</v>
      </c>
      <c r="C141" s="165"/>
      <c r="D141" s="165"/>
      <c r="E141" s="159" t="str">
        <f>IF(Parameter!A25=MaßgeblEinkGruppe," Ihr Kostenbeitrag &gt;&gt;  ","") &amp; TEXT(IF(Beitragsstufe=1,Parameter!C25,IF(Beitragsstufe=2,Parameter!D25,IF(Beitragsstufe=3,Parameter!E25,IF(Beitragsstufe=4,Parameter!F25,0)))),"#.##0,00 €")</f>
        <v>0,00 €</v>
      </c>
      <c r="F141" s="159"/>
      <c r="G141" s="159"/>
      <c r="H141" s="104"/>
      <c r="I141" s="90"/>
      <c r="J141" s="89"/>
    </row>
    <row r="142" spans="1:10" s="27" customFormat="1" ht="21.9" customHeight="1" x14ac:dyDescent="0.3">
      <c r="A142" s="72" t="str">
        <f>"Gruppe " &amp; Parameter!A26 &amp; IF(Parameter!A26=VorlEinkommensgruppe," &lt; EK-Gruppe","") &amp; IF(Parameter!A26=MaßgeblEinkGruppe," &lt; Endgültige Zuordnung","")</f>
        <v>Gruppe 17</v>
      </c>
      <c r="B142" s="165" t="str">
        <f>TEXT(Parameter!B25+0.01,"#.##0,00 €")&amp; " bis " &amp; TEXT(Parameter!B26,"#.##0,00 €")</f>
        <v>4.601,00 € bis 5.000,99 €</v>
      </c>
      <c r="C142" s="165"/>
      <c r="D142" s="165"/>
      <c r="E142" s="159" t="str">
        <f>IF(Parameter!A26=MaßgeblEinkGruppe," Ihr Kostenbeitrag &gt;&gt;  ","") &amp; TEXT(IF(Beitragsstufe=1,Parameter!C26,IF(Beitragsstufe=2,Parameter!D26,IF(Beitragsstufe=3,Parameter!E26,IF(Beitragsstufe=4,Parameter!F26,0)))),"#.##0,00 €")</f>
        <v>0,00 €</v>
      </c>
      <c r="F142" s="159"/>
      <c r="G142" s="159"/>
      <c r="H142" s="104"/>
      <c r="I142" s="90"/>
      <c r="J142" s="89"/>
    </row>
    <row r="143" spans="1:10" s="27" customFormat="1" ht="21.9" customHeight="1" x14ac:dyDescent="0.3">
      <c r="A143" s="72" t="str">
        <f>"Gruppe " &amp; Parameter!A27 &amp; IF(Parameter!A27=VorlEinkommensgruppe," &lt; EK-Gruppe","") &amp; IF(Parameter!A27=MaßgeblEinkGruppe," &lt; Endgültige Zuordnung","")</f>
        <v>Gruppe 18</v>
      </c>
      <c r="B143" s="165" t="str">
        <f>TEXT(Parameter!B26+0.01,"#.##0,00 €")&amp; " bis " &amp; TEXT(Parameter!B27,"#.##0,00 €")</f>
        <v>5.001,00 € bis 5.500,99 €</v>
      </c>
      <c r="C143" s="165"/>
      <c r="D143" s="165"/>
      <c r="E143" s="159" t="str">
        <f>IF(Parameter!A27=MaßgeblEinkGruppe," Ihr Kostenbeitrag &gt;&gt;  ","") &amp; TEXT(IF(Beitragsstufe=1,Parameter!C27,IF(Beitragsstufe=2,Parameter!D27,IF(Beitragsstufe=3,Parameter!E27,IF(Beitragsstufe=4,Parameter!F27,0)))),"#.##0,00 €")</f>
        <v>0,00 €</v>
      </c>
      <c r="F143" s="159"/>
      <c r="G143" s="159"/>
      <c r="H143" s="104"/>
      <c r="I143" s="90"/>
      <c r="J143" s="89"/>
    </row>
    <row r="144" spans="1:10" s="27" customFormat="1" ht="21.9" customHeight="1" x14ac:dyDescent="0.3">
      <c r="A144" s="72" t="str">
        <f>"Gruppe " &amp; Parameter!A28 &amp; IF(Parameter!A28=VorlEinkommensgruppe," &lt; EK-Gruppe","") &amp; IF(Parameter!A28=MaßgeblEinkGruppe," &lt; Endgültige Zuordnung","")</f>
        <v>Gruppe 19</v>
      </c>
      <c r="B144" s="165" t="str">
        <f>TEXT(Parameter!B27+0.01,"#.##0,00 €")&amp; " bis " &amp; TEXT(Parameter!B28,"#.##0,00 €")</f>
        <v>5.501,00 € bis 6.000,99 €</v>
      </c>
      <c r="C144" s="165"/>
      <c r="D144" s="165"/>
      <c r="E144" s="159" t="str">
        <f>IF(Parameter!A28=MaßgeblEinkGruppe," Ihr Kostenbeitrag &gt;&gt;  ","") &amp; TEXT(IF(Beitragsstufe=1,Parameter!C28,IF(Beitragsstufe=2,Parameter!D28,IF(Beitragsstufe=3,Parameter!E28,IF(Beitragsstufe=4,Parameter!F28,0)))),"#.##0,00 €")</f>
        <v>0,00 €</v>
      </c>
      <c r="F144" s="159"/>
      <c r="G144" s="159"/>
      <c r="H144" s="104"/>
      <c r="I144" s="90"/>
      <c r="J144" s="89"/>
    </row>
    <row r="145" spans="1:10" s="27" customFormat="1" ht="21.9" customHeight="1" x14ac:dyDescent="0.3">
      <c r="A145" s="72" t="str">
        <f>"Gruppe " &amp; Parameter!A29 &amp; IF(Parameter!A29=VorlEinkommensgruppe," &lt; EK-Gruppe","") &amp; IF(Parameter!A29=MaßgeblEinkGruppe," &lt; Endgültige Zuordnung","")</f>
        <v>Gruppe 20</v>
      </c>
      <c r="B145" s="165" t="str">
        <f>TEXT(Parameter!B28+0.01,"#.##0,00 €")&amp; " bis " &amp; TEXT(Parameter!B29,"#.##0,00 €")</f>
        <v>6.001,00 € bis 6.500,99 €</v>
      </c>
      <c r="C145" s="165"/>
      <c r="D145" s="165"/>
      <c r="E145" s="159" t="str">
        <f>IF(Parameter!A29=MaßgeblEinkGruppe," Ihr Kostenbeitrag &gt;&gt;  ","") &amp; TEXT(IF(Beitragsstufe=1,Parameter!C29,IF(Beitragsstufe=2,Parameter!D29,IF(Beitragsstufe=3,Parameter!E29,IF(Beitragsstufe=4,Parameter!F29,0)))),"#.##0,00 €")</f>
        <v>0,00 €</v>
      </c>
      <c r="F145" s="159"/>
      <c r="G145" s="159"/>
      <c r="H145" s="104"/>
      <c r="I145" s="90"/>
      <c r="J145" s="89"/>
    </row>
    <row r="146" spans="1:10" s="27" customFormat="1" ht="21.9" customHeight="1" x14ac:dyDescent="0.3">
      <c r="A146" s="72" t="str">
        <f>"Gruppe " &amp; Parameter!A30 &amp; IF(Parameter!A30=VorlEinkommensgruppe," &lt; EK-Gruppe","") &amp; IF(Parameter!A30=MaßgeblEinkGruppe," &lt; Endgültige Zuordnung","")</f>
        <v>Gruppe 21</v>
      </c>
      <c r="B146" s="165" t="str">
        <f>TEXT(Parameter!B29+0.01,"#.##0,00 €")&amp; " bis " &amp; TEXT(Parameter!B30,"#.##0,00 €")</f>
        <v>6.501,00 € bis 7.000,99 €</v>
      </c>
      <c r="C146" s="165"/>
      <c r="D146" s="165"/>
      <c r="E146" s="159" t="str">
        <f>IF(Parameter!A30=MaßgeblEinkGruppe," Ihr Kostenbeitrag &gt;&gt;  ","") &amp; TEXT(IF(Beitragsstufe=1,Parameter!C30,IF(Beitragsstufe=2,Parameter!D30,IF(Beitragsstufe=3,Parameter!E30,IF(Beitragsstufe=4,Parameter!F30,0)))),"#.##0,00 €")</f>
        <v>0,00 €</v>
      </c>
      <c r="F146" s="159"/>
      <c r="G146" s="159"/>
      <c r="H146" s="104"/>
      <c r="I146" s="90"/>
      <c r="J146" s="89"/>
    </row>
    <row r="147" spans="1:10" s="27" customFormat="1" ht="21.9" customHeight="1" x14ac:dyDescent="0.3">
      <c r="A147" s="72" t="str">
        <f>"Gruppe " &amp; Parameter!A31 &amp; IF(Parameter!A31=VorlEinkommensgruppe," &lt; EK-Gruppe","") &amp; IF(Parameter!A31=MaßgeblEinkGruppe," &lt; Endgültige Zuordnung","")</f>
        <v>Gruppe 22</v>
      </c>
      <c r="B147" s="165" t="str">
        <f>TEXT(Parameter!B30+0.01,"#.##0,00 €")&amp; " bis " &amp; TEXT(Parameter!B31,"#.##0,00 €")</f>
        <v>7.001,00 € bis 7.500,99 €</v>
      </c>
      <c r="C147" s="165"/>
      <c r="D147" s="165"/>
      <c r="E147" s="159" t="str">
        <f>IF(Parameter!A31=MaßgeblEinkGruppe," Ihr Kostenbeitrag &gt;&gt;  ","") &amp; TEXT(IF(Beitragsstufe=1,Parameter!C31,IF(Beitragsstufe=2,Parameter!D31,IF(Beitragsstufe=3,Parameter!E31,IF(Beitragsstufe=4,Parameter!F31,0)))),"#.##0,00 €")</f>
        <v>0,00 €</v>
      </c>
      <c r="F147" s="159"/>
      <c r="G147" s="159"/>
      <c r="H147" s="104"/>
      <c r="I147" s="90"/>
      <c r="J147" s="89"/>
    </row>
    <row r="148" spans="1:10" s="27" customFormat="1" ht="21.9" customHeight="1" x14ac:dyDescent="0.3">
      <c r="A148" s="72" t="str">
        <f>"Gruppe " &amp; Parameter!A32 &amp; IF(Parameter!A32=VorlEinkommensgruppe," &lt; EK-Gruppe","") &amp; IF(Parameter!A32=MaßgeblEinkGruppe," &lt; Endgültige Zuordnung","")</f>
        <v>Gruppe 23</v>
      </c>
      <c r="B148" s="165" t="str">
        <f>TEXT(Parameter!B31+0.01,"#.##0,00 €")&amp; " bis " &amp; TEXT(Parameter!B32,"#.##0,00 €")</f>
        <v>7.501,00 € bis 8.000,99 €</v>
      </c>
      <c r="C148" s="165"/>
      <c r="D148" s="165"/>
      <c r="E148" s="159" t="str">
        <f>IF(Parameter!A32=MaßgeblEinkGruppe," Ihr Kostenbeitrag &gt;&gt;  ","") &amp; TEXT(IF(Beitragsstufe=1,Parameter!C32,IF(Beitragsstufe=2,Parameter!D32,IF(Beitragsstufe=3,Parameter!E32,IF(Beitragsstufe=4,Parameter!F32,0)))),"#.##0,00 €")</f>
        <v>0,00 €</v>
      </c>
      <c r="F148" s="159"/>
      <c r="G148" s="159"/>
      <c r="H148" s="104"/>
      <c r="I148" s="90"/>
      <c r="J148" s="89"/>
    </row>
    <row r="149" spans="1:10" s="27" customFormat="1" ht="21.9" customHeight="1" x14ac:dyDescent="0.3">
      <c r="A149" s="72" t="str">
        <f>"Gruppe " &amp; Parameter!A33 &amp; IF(Parameter!A33=VorlEinkommensgruppe," &lt; EK-Gruppe","") &amp; IF(Parameter!A33=MaßgeblEinkGruppe," &lt; Endgültige Zuordnung","")</f>
        <v>Gruppe 24</v>
      </c>
      <c r="B149" s="165" t="str">
        <f>TEXT(Parameter!B32+0.01,"#.##0,00 €")&amp; " bis " &amp; TEXT(Parameter!B33,"#.##0,00 €")</f>
        <v>8.001,00 € bis 8.500,99 €</v>
      </c>
      <c r="C149" s="165"/>
      <c r="D149" s="165"/>
      <c r="E149" s="159" t="str">
        <f>IF(Parameter!A33=MaßgeblEinkGruppe," Ihr Kostenbeitrag &gt;&gt;  ","") &amp; TEXT(IF(Beitragsstufe=1,Parameter!C33,IF(Beitragsstufe=2,Parameter!D33,IF(Beitragsstufe=3,Parameter!E33,IF(Beitragsstufe=4,Parameter!F33,0)))),"#.##0,00 €")</f>
        <v>0,00 €</v>
      </c>
      <c r="F149" s="159"/>
      <c r="G149" s="159"/>
      <c r="H149" s="104"/>
      <c r="I149" s="90"/>
      <c r="J149" s="89"/>
    </row>
    <row r="150" spans="1:10" s="27" customFormat="1" ht="21.9" customHeight="1" x14ac:dyDescent="0.3">
      <c r="A150" s="72" t="str">
        <f>"Gruppe " &amp; Parameter!A34 &amp; IF(Parameter!A34=VorlEinkommensgruppe," &lt; EK-Gruppe","") &amp; IF(Parameter!A34=MaßgeblEinkGruppe," &lt; Endgültige Zuordnung","")</f>
        <v>Gruppe 25</v>
      </c>
      <c r="B150" s="165" t="str">
        <f>TEXT(Parameter!B33+0.01,"#.##0,00 €")&amp; " bis " &amp; TEXT(Parameter!B34,"#.##0,00 €")</f>
        <v>8.501,00 € bis 9.000,99 €</v>
      </c>
      <c r="C150" s="165"/>
      <c r="D150" s="165"/>
      <c r="E150" s="159" t="str">
        <f>IF(Parameter!A34=MaßgeblEinkGruppe," Ihr Kostenbeitrag &gt;&gt;  ","") &amp; TEXT(IF(Beitragsstufe=1,Parameter!C34,IF(Beitragsstufe=2,Parameter!D34,IF(Beitragsstufe=3,Parameter!E34,IF(Beitragsstufe=4,Parameter!F34,0)))),"#.##0,00 €")</f>
        <v>0,00 €</v>
      </c>
      <c r="F150" s="159"/>
      <c r="G150" s="159"/>
      <c r="H150" s="104"/>
      <c r="I150" s="90"/>
      <c r="J150" s="89"/>
    </row>
    <row r="151" spans="1:10" s="27" customFormat="1" ht="21.9" customHeight="1" x14ac:dyDescent="0.3">
      <c r="A151" s="72" t="str">
        <f>"Gruppe " &amp; Parameter!A35 &amp; IF(Parameter!A35=VorlEinkommensgruppe," &lt; EK-Gruppe","") &amp; IF(Parameter!A35=MaßgeblEinkGruppe," &lt; Endgültige Zuordnung","")</f>
        <v>Gruppe 26</v>
      </c>
      <c r="B151" s="165" t="str">
        <f>TEXT(Parameter!B34+0.01,"#.##0,00 €")&amp; " bis " &amp; TEXT(Parameter!B35,"#.##0,00 €")</f>
        <v>9.001,00 € bis 9.500,99 €</v>
      </c>
      <c r="C151" s="165"/>
      <c r="D151" s="165"/>
      <c r="E151" s="159" t="str">
        <f>IF(Parameter!A35=MaßgeblEinkGruppe," Ihr Kostenbeitrag &gt;&gt;  ","") &amp; TEXT(IF(Beitragsstufe=1,Parameter!C35,IF(Beitragsstufe=2,Parameter!D35,IF(Beitragsstufe=3,Parameter!E35,IF(Beitragsstufe=4,Parameter!F35,0)))),"#.##0,00 €")</f>
        <v>0,00 €</v>
      </c>
      <c r="F151" s="159"/>
      <c r="G151" s="159"/>
      <c r="H151" s="104"/>
      <c r="I151" s="90"/>
      <c r="J151" s="89"/>
    </row>
    <row r="152" spans="1:10" s="27" customFormat="1" ht="21.9" customHeight="1" x14ac:dyDescent="0.3">
      <c r="A152" s="72" t="str">
        <f>"Gruppe " &amp; Parameter!A36 &amp; IF(Parameter!A36=VorlEinkommensgruppe," &lt; EK-Gruppe","") &amp; IF(Parameter!A36=MaßgeblEinkGruppe," &lt; Endgültige Zuordnung","")</f>
        <v>Gruppe 27</v>
      </c>
      <c r="B152" s="165" t="str">
        <f>TEXT(Parameter!B35+0.01,"#.##0,00 €")&amp; " bis " &amp; TEXT(Parameter!B36,"#.##0,00 €")</f>
        <v>9.501,00 € bis 10.000,99 €</v>
      </c>
      <c r="C152" s="165"/>
      <c r="D152" s="165"/>
      <c r="E152" s="159" t="str">
        <f>IF(Parameter!A36=MaßgeblEinkGruppe," Ihr Kostenbeitrag &gt;&gt;  ","") &amp; TEXT(IF(Beitragsstufe=1,Parameter!C36,IF(Beitragsstufe=2,Parameter!D36,IF(Beitragsstufe=3,Parameter!E36,IF(Beitragsstufe=4,Parameter!F36,0)))),"#.##0,00 €")</f>
        <v>0,00 €</v>
      </c>
      <c r="F152" s="159"/>
      <c r="G152" s="159"/>
      <c r="H152" s="104"/>
      <c r="I152" s="90"/>
      <c r="J152" s="89"/>
    </row>
    <row r="153" spans="1:10" s="27" customFormat="1" ht="21.9" customHeight="1" x14ac:dyDescent="0.3">
      <c r="A153" s="72" t="str">
        <f>"Gruppe " &amp; Parameter!A37 &amp; IF(Parameter!A37=VorlEinkommensgruppe," &lt; EK-Gruppe","") &amp; IF(Parameter!A37=MaßgeblEinkGruppe," &lt; Endgültige Zuordnung","")</f>
        <v>Gruppe 28</v>
      </c>
      <c r="B153" s="165" t="str">
        <f>TEXT(Parameter!B36+0.01,"#.##0,00 €") &amp; " und höher"</f>
        <v>10.001,00 € und höher</v>
      </c>
      <c r="C153" s="165"/>
      <c r="D153" s="165"/>
      <c r="E153" s="159" t="str">
        <f>IF(Parameter!B44&lt;28,"%-Anteil des Einkommens","Ihr Kostenbeitrag &gt;&gt;  "&amp;TEXT(ROUND(IF(Beitragsstufe=1,Parameter!C37,IF(Beitragsstufe=2,Parameter!D37,IF(Beitragsstufe=3,Parameter!E37,IF(Beitragsstufe=4,Parameter!F37,0)))),2),"#.##0,00 €"))</f>
        <v>%-Anteil des Einkommens</v>
      </c>
      <c r="F153" s="159"/>
      <c r="G153" s="159"/>
      <c r="H153" s="104"/>
      <c r="I153" s="90"/>
      <c r="J153" s="89"/>
    </row>
    <row r="154" spans="1:10" ht="20.100000000000001" customHeight="1" x14ac:dyDescent="0.3"/>
    <row r="155" spans="1:10" ht="20.100000000000001" customHeight="1" x14ac:dyDescent="0.3"/>
    <row r="156" spans="1:10" ht="20.100000000000001" customHeight="1" x14ac:dyDescent="0.3"/>
    <row r="157" spans="1:10" ht="20.100000000000001" customHeight="1" x14ac:dyDescent="0.3"/>
    <row r="158" spans="1:10" ht="20.100000000000001" customHeight="1" x14ac:dyDescent="0.3"/>
    <row r="159" spans="1:10" ht="20.100000000000001" customHeight="1" x14ac:dyDescent="0.3"/>
    <row r="160" spans="1:10" ht="20.100000000000001" customHeight="1" x14ac:dyDescent="0.3"/>
    <row r="161" ht="20.100000000000001" customHeight="1" x14ac:dyDescent="0.3"/>
    <row r="162" ht="20.100000000000001" customHeight="1" x14ac:dyDescent="0.3"/>
    <row r="163" ht="20.100000000000001" customHeight="1" x14ac:dyDescent="0.3"/>
    <row r="164" ht="20.100000000000001" customHeight="1" x14ac:dyDescent="0.3"/>
    <row r="165" ht="20.100000000000001" customHeight="1" x14ac:dyDescent="0.3"/>
    <row r="166" ht="20.100000000000001" customHeight="1" x14ac:dyDescent="0.3"/>
    <row r="167" ht="20.100000000000001" customHeight="1" x14ac:dyDescent="0.3"/>
    <row r="168" ht="20.100000000000001" customHeight="1" x14ac:dyDescent="0.3"/>
    <row r="169" ht="20.100000000000001" customHeight="1" x14ac:dyDescent="0.3"/>
    <row r="170" ht="20.100000000000001" customHeight="1" x14ac:dyDescent="0.3"/>
    <row r="171" ht="20.100000000000001" customHeight="1" x14ac:dyDescent="0.3"/>
    <row r="172" ht="20.100000000000001" customHeight="1" x14ac:dyDescent="0.3"/>
    <row r="173" ht="20.100000000000001" customHeight="1" x14ac:dyDescent="0.3"/>
    <row r="174" ht="20.100000000000001" customHeight="1" x14ac:dyDescent="0.3"/>
    <row r="175" ht="20.100000000000001" customHeight="1" x14ac:dyDescent="0.3"/>
    <row r="176" ht="20.100000000000001" customHeight="1" x14ac:dyDescent="0.3"/>
    <row r="177" ht="20.100000000000001" customHeight="1" x14ac:dyDescent="0.3"/>
    <row r="178" ht="20.100000000000001" customHeight="1" x14ac:dyDescent="0.3"/>
    <row r="179" ht="20.100000000000001" customHeight="1" x14ac:dyDescent="0.3"/>
    <row r="180" ht="20.100000000000001" customHeight="1" x14ac:dyDescent="0.3"/>
    <row r="181" ht="20.100000000000001" customHeight="1" x14ac:dyDescent="0.3"/>
    <row r="182" ht="20.100000000000001" customHeight="1" x14ac:dyDescent="0.3"/>
    <row r="183" ht="20.100000000000001" customHeight="1" x14ac:dyDescent="0.3"/>
    <row r="184" ht="20.100000000000001" customHeight="1" x14ac:dyDescent="0.3"/>
    <row r="185" ht="20.100000000000001" customHeight="1" x14ac:dyDescent="0.3"/>
    <row r="186" ht="20.100000000000001" customHeight="1" x14ac:dyDescent="0.3"/>
    <row r="187" ht="20.100000000000001" customHeight="1" x14ac:dyDescent="0.3"/>
    <row r="188" ht="20.100000000000001" customHeight="1" x14ac:dyDescent="0.3"/>
    <row r="189" ht="20.100000000000001" customHeight="1" x14ac:dyDescent="0.3"/>
    <row r="190" ht="20.100000000000001" customHeight="1" x14ac:dyDescent="0.3"/>
    <row r="191" ht="20.100000000000001" customHeight="1" x14ac:dyDescent="0.3"/>
    <row r="192" ht="20.100000000000001" customHeight="1" x14ac:dyDescent="0.3"/>
    <row r="193" ht="20.100000000000001" customHeight="1" x14ac:dyDescent="0.3"/>
    <row r="194" ht="20.100000000000001" customHeight="1" x14ac:dyDescent="0.3"/>
    <row r="195" ht="20.100000000000001" customHeight="1" x14ac:dyDescent="0.3"/>
    <row r="196" ht="20.100000000000001" customHeight="1" x14ac:dyDescent="0.3"/>
    <row r="197" ht="20.100000000000001" customHeight="1" x14ac:dyDescent="0.3"/>
    <row r="198" ht="20.100000000000001" customHeight="1" x14ac:dyDescent="0.3"/>
    <row r="199" ht="20.100000000000001" customHeight="1" x14ac:dyDescent="0.3"/>
    <row r="200" ht="20.100000000000001" customHeight="1" x14ac:dyDescent="0.3"/>
    <row r="201" ht="20.100000000000001" customHeight="1" x14ac:dyDescent="0.3"/>
    <row r="202" ht="20.100000000000001" customHeight="1" x14ac:dyDescent="0.3"/>
    <row r="203" ht="20.100000000000001" customHeight="1" x14ac:dyDescent="0.3"/>
    <row r="204" ht="20.100000000000001" customHeight="1" x14ac:dyDescent="0.3"/>
    <row r="205" ht="20.100000000000001" customHeight="1" x14ac:dyDescent="0.3"/>
    <row r="206" ht="20.100000000000001" customHeight="1" x14ac:dyDescent="0.3"/>
    <row r="207" ht="20.100000000000001" customHeight="1" x14ac:dyDescent="0.3"/>
    <row r="208" ht="20.100000000000001" customHeight="1" x14ac:dyDescent="0.3"/>
    <row r="209" ht="20.100000000000001" customHeight="1" x14ac:dyDescent="0.3"/>
    <row r="210" ht="20.100000000000001" customHeight="1" x14ac:dyDescent="0.3"/>
    <row r="211" ht="20.100000000000001" customHeight="1" x14ac:dyDescent="0.3"/>
    <row r="212" ht="20.100000000000001" customHeight="1" x14ac:dyDescent="0.3"/>
    <row r="213" ht="20.100000000000001" customHeight="1" x14ac:dyDescent="0.3"/>
    <row r="214" ht="20.100000000000001" customHeight="1" x14ac:dyDescent="0.3"/>
    <row r="215" ht="20.100000000000001" customHeight="1" x14ac:dyDescent="0.3"/>
    <row r="216" ht="20.100000000000001" customHeight="1" x14ac:dyDescent="0.3"/>
    <row r="217" ht="20.100000000000001" customHeight="1" x14ac:dyDescent="0.3"/>
    <row r="218" ht="20.100000000000001" customHeight="1" x14ac:dyDescent="0.3"/>
    <row r="219" ht="20.100000000000001" customHeight="1" x14ac:dyDescent="0.3"/>
    <row r="220" ht="20.100000000000001" customHeight="1" x14ac:dyDescent="0.3"/>
    <row r="221" ht="20.100000000000001" customHeight="1" x14ac:dyDescent="0.3"/>
    <row r="222" ht="20.100000000000001" customHeight="1" x14ac:dyDescent="0.3"/>
    <row r="223" ht="20.100000000000001" customHeight="1" x14ac:dyDescent="0.3"/>
    <row r="224" ht="20.100000000000001" customHeight="1" x14ac:dyDescent="0.3"/>
    <row r="225" ht="20.100000000000001" customHeight="1" x14ac:dyDescent="0.3"/>
    <row r="226" ht="20.100000000000001" customHeight="1" x14ac:dyDescent="0.3"/>
    <row r="227" ht="20.100000000000001" customHeight="1" x14ac:dyDescent="0.3"/>
    <row r="228" ht="20.100000000000001" customHeight="1" x14ac:dyDescent="0.3"/>
    <row r="229" ht="20.100000000000001" customHeight="1" x14ac:dyDescent="0.3"/>
    <row r="230" ht="20.100000000000001" customHeight="1" x14ac:dyDescent="0.3"/>
    <row r="231" ht="20.100000000000001" customHeight="1" x14ac:dyDescent="0.3"/>
    <row r="232" ht="20.100000000000001" customHeight="1" x14ac:dyDescent="0.3"/>
    <row r="233" ht="20.100000000000001" customHeight="1" x14ac:dyDescent="0.3"/>
    <row r="234" ht="20.100000000000001" customHeight="1" x14ac:dyDescent="0.3"/>
    <row r="235" ht="20.100000000000001" customHeight="1" x14ac:dyDescent="0.3"/>
    <row r="236" ht="20.100000000000001" customHeight="1" x14ac:dyDescent="0.3"/>
    <row r="237" ht="20.100000000000001" customHeight="1" x14ac:dyDescent="0.3"/>
    <row r="238" ht="20.100000000000001" customHeight="1" x14ac:dyDescent="0.3"/>
    <row r="239" ht="20.100000000000001" customHeight="1" x14ac:dyDescent="0.3"/>
    <row r="240" ht="20.100000000000001" customHeight="1" x14ac:dyDescent="0.3"/>
    <row r="241" ht="20.100000000000001" customHeight="1" x14ac:dyDescent="0.3"/>
    <row r="242" ht="20.100000000000001" customHeight="1" x14ac:dyDescent="0.3"/>
    <row r="243" ht="20.100000000000001" customHeight="1" x14ac:dyDescent="0.3"/>
    <row r="244" ht="20.100000000000001" customHeight="1" x14ac:dyDescent="0.3"/>
    <row r="245" ht="20.100000000000001" customHeight="1" x14ac:dyDescent="0.3"/>
    <row r="246" ht="20.100000000000001" customHeight="1" x14ac:dyDescent="0.3"/>
    <row r="247" ht="20.100000000000001" customHeight="1" x14ac:dyDescent="0.3"/>
    <row r="248" ht="20.100000000000001" customHeight="1" x14ac:dyDescent="0.3"/>
    <row r="249" ht="20.100000000000001" customHeight="1" x14ac:dyDescent="0.3"/>
    <row r="250" ht="20.100000000000001" customHeight="1" x14ac:dyDescent="0.3"/>
    <row r="251" ht="20.100000000000001" customHeight="1" x14ac:dyDescent="0.3"/>
    <row r="252" ht="20.100000000000001" customHeight="1" x14ac:dyDescent="0.3"/>
    <row r="253" ht="20.100000000000001" customHeight="1" x14ac:dyDescent="0.3"/>
    <row r="254" ht="20.100000000000001" customHeight="1" x14ac:dyDescent="0.3"/>
    <row r="255" ht="20.100000000000001" customHeight="1" x14ac:dyDescent="0.3"/>
    <row r="256" ht="20.100000000000001" customHeight="1" x14ac:dyDescent="0.3"/>
    <row r="257" ht="20.100000000000001" customHeight="1" x14ac:dyDescent="0.3"/>
    <row r="258" ht="20.100000000000001" customHeight="1" x14ac:dyDescent="0.3"/>
    <row r="259" ht="20.100000000000001" customHeight="1" x14ac:dyDescent="0.3"/>
    <row r="260" ht="20.100000000000001" customHeight="1" x14ac:dyDescent="0.3"/>
    <row r="261" ht="20.100000000000001" customHeight="1" x14ac:dyDescent="0.3"/>
    <row r="262" ht="20.100000000000001" customHeight="1" x14ac:dyDescent="0.3"/>
    <row r="263" ht="20.100000000000001" customHeight="1" x14ac:dyDescent="0.3"/>
    <row r="264" ht="20.100000000000001" customHeight="1" x14ac:dyDescent="0.3"/>
    <row r="265" ht="20.100000000000001" customHeight="1" x14ac:dyDescent="0.3"/>
    <row r="266" ht="20.100000000000001" customHeight="1" x14ac:dyDescent="0.3"/>
    <row r="267" ht="20.100000000000001" customHeight="1" x14ac:dyDescent="0.3"/>
    <row r="268" ht="20.100000000000001" customHeight="1" x14ac:dyDescent="0.3"/>
    <row r="269" ht="20.100000000000001" customHeight="1" x14ac:dyDescent="0.3"/>
    <row r="270" ht="20.100000000000001" customHeight="1" x14ac:dyDescent="0.3"/>
    <row r="271" ht="20.100000000000001" customHeight="1" x14ac:dyDescent="0.3"/>
    <row r="272" ht="20.100000000000001" customHeight="1" x14ac:dyDescent="0.3"/>
    <row r="273" ht="20.100000000000001" customHeight="1" x14ac:dyDescent="0.3"/>
    <row r="274" ht="20.100000000000001" customHeight="1" x14ac:dyDescent="0.3"/>
    <row r="275" ht="20.100000000000001" customHeight="1" x14ac:dyDescent="0.3"/>
    <row r="276" ht="20.100000000000001" customHeight="1" x14ac:dyDescent="0.3"/>
    <row r="277" ht="20.100000000000001" customHeight="1" x14ac:dyDescent="0.3"/>
    <row r="278" ht="20.100000000000001" customHeight="1" x14ac:dyDescent="0.3"/>
    <row r="279" ht="20.100000000000001" customHeight="1" x14ac:dyDescent="0.3"/>
    <row r="280" ht="20.100000000000001" customHeight="1" x14ac:dyDescent="0.3"/>
    <row r="281" ht="20.100000000000001" customHeight="1" x14ac:dyDescent="0.3"/>
    <row r="282" ht="20.100000000000001" customHeight="1" x14ac:dyDescent="0.3"/>
    <row r="283" ht="20.100000000000001" customHeight="1" x14ac:dyDescent="0.3"/>
    <row r="284" ht="20.100000000000001" customHeight="1" x14ac:dyDescent="0.3"/>
    <row r="285" ht="20.100000000000001" customHeight="1" x14ac:dyDescent="0.3"/>
    <row r="286" ht="20.100000000000001" customHeight="1" x14ac:dyDescent="0.3"/>
    <row r="287" ht="20.100000000000001" customHeight="1" x14ac:dyDescent="0.3"/>
    <row r="288" ht="20.100000000000001" customHeight="1" x14ac:dyDescent="0.3"/>
    <row r="289" ht="20.100000000000001" customHeight="1" x14ac:dyDescent="0.3"/>
    <row r="290" ht="20.100000000000001" customHeight="1" x14ac:dyDescent="0.3"/>
    <row r="291" ht="20.100000000000001" customHeight="1" x14ac:dyDescent="0.3"/>
    <row r="292" ht="20.100000000000001" customHeight="1" x14ac:dyDescent="0.3"/>
    <row r="293" ht="20.100000000000001" customHeight="1" x14ac:dyDescent="0.3"/>
    <row r="294" ht="20.100000000000001" customHeight="1" x14ac:dyDescent="0.3"/>
    <row r="295" ht="20.100000000000001" customHeight="1" x14ac:dyDescent="0.3"/>
    <row r="296" ht="20.100000000000001" customHeight="1" x14ac:dyDescent="0.3"/>
    <row r="297" ht="20.100000000000001" customHeight="1" x14ac:dyDescent="0.3"/>
    <row r="298" ht="20.100000000000001" customHeight="1" x14ac:dyDescent="0.3"/>
    <row r="299" ht="20.100000000000001" customHeight="1" x14ac:dyDescent="0.3"/>
    <row r="300" ht="20.100000000000001" customHeight="1" x14ac:dyDescent="0.3"/>
    <row r="301" ht="20.100000000000001" customHeight="1" x14ac:dyDescent="0.3"/>
    <row r="302" ht="20.100000000000001" customHeight="1" x14ac:dyDescent="0.3"/>
    <row r="303" ht="20.100000000000001" customHeight="1" x14ac:dyDescent="0.3"/>
    <row r="304" ht="20.100000000000001" customHeight="1" x14ac:dyDescent="0.3"/>
    <row r="305" ht="20.100000000000001" customHeight="1" x14ac:dyDescent="0.3"/>
    <row r="306" ht="20.100000000000001" customHeight="1" x14ac:dyDescent="0.3"/>
    <row r="307" ht="20.100000000000001" customHeight="1" x14ac:dyDescent="0.3"/>
    <row r="308" ht="20.100000000000001" customHeight="1" x14ac:dyDescent="0.3"/>
    <row r="309" ht="20.100000000000001" customHeight="1" x14ac:dyDescent="0.3"/>
  </sheetData>
  <sheetProtection sheet="1" objects="1" scenarios="1"/>
  <mergeCells count="93">
    <mergeCell ref="A111:C111"/>
    <mergeCell ref="J107:J108"/>
    <mergeCell ref="J110:J112"/>
    <mergeCell ref="I113:I114"/>
    <mergeCell ref="B153:D153"/>
    <mergeCell ref="A117:G120"/>
    <mergeCell ref="E153:G153"/>
    <mergeCell ref="B125:D125"/>
    <mergeCell ref="B126:D126"/>
    <mergeCell ref="B127:D127"/>
    <mergeCell ref="B128:D128"/>
    <mergeCell ref="B129:D129"/>
    <mergeCell ref="B130:D130"/>
    <mergeCell ref="B131:D131"/>
    <mergeCell ref="B132:D132"/>
    <mergeCell ref="B133:D133"/>
    <mergeCell ref="B134:D134"/>
    <mergeCell ref="B135:D135"/>
    <mergeCell ref="E147:G147"/>
    <mergeCell ref="E148:G148"/>
    <mergeCell ref="B147:D147"/>
    <mergeCell ref="B148:D148"/>
    <mergeCell ref="E145:G145"/>
    <mergeCell ref="E146:G146"/>
    <mergeCell ref="B145:D145"/>
    <mergeCell ref="B146:D146"/>
    <mergeCell ref="E143:G143"/>
    <mergeCell ref="E144:G144"/>
    <mergeCell ref="B143:D143"/>
    <mergeCell ref="B144:D144"/>
    <mergeCell ref="E141:G141"/>
    <mergeCell ref="E142:G142"/>
    <mergeCell ref="E151:G151"/>
    <mergeCell ref="E152:G152"/>
    <mergeCell ref="B151:D151"/>
    <mergeCell ref="B152:D152"/>
    <mergeCell ref="E149:G149"/>
    <mergeCell ref="E150:G150"/>
    <mergeCell ref="B149:D149"/>
    <mergeCell ref="B150:D150"/>
    <mergeCell ref="B141:D141"/>
    <mergeCell ref="B142:D142"/>
    <mergeCell ref="E139:G139"/>
    <mergeCell ref="E140:G140"/>
    <mergeCell ref="B139:D139"/>
    <mergeCell ref="B140:D140"/>
    <mergeCell ref="E137:G137"/>
    <mergeCell ref="E138:G138"/>
    <mergeCell ref="B138:D138"/>
    <mergeCell ref="E135:G135"/>
    <mergeCell ref="E136:G136"/>
    <mergeCell ref="B136:D136"/>
    <mergeCell ref="B137:D137"/>
    <mergeCell ref="E133:G133"/>
    <mergeCell ref="E134:G134"/>
    <mergeCell ref="E131:G131"/>
    <mergeCell ref="E132:G132"/>
    <mergeCell ref="E129:G129"/>
    <mergeCell ref="E130:G130"/>
    <mergeCell ref="E127:G127"/>
    <mergeCell ref="E128:G128"/>
    <mergeCell ref="E126:G126"/>
    <mergeCell ref="E125:G125"/>
    <mergeCell ref="J10:J12"/>
    <mergeCell ref="J71:J74"/>
    <mergeCell ref="J75:J79"/>
    <mergeCell ref="J101:J104"/>
    <mergeCell ref="J97:J99"/>
    <mergeCell ref="E95:G95"/>
    <mergeCell ref="J117:J120"/>
    <mergeCell ref="J67:J69"/>
    <mergeCell ref="J85:J89"/>
    <mergeCell ref="C61:E61"/>
    <mergeCell ref="J81:J83"/>
    <mergeCell ref="G53:G54"/>
    <mergeCell ref="J7:J8"/>
    <mergeCell ref="J3:J6"/>
    <mergeCell ref="A2:G2"/>
    <mergeCell ref="I5:I6"/>
    <mergeCell ref="J53:J61"/>
    <mergeCell ref="G87:G88"/>
    <mergeCell ref="G105:G106"/>
    <mergeCell ref="B95:D95"/>
    <mergeCell ref="E7:G7"/>
    <mergeCell ref="E8:G8"/>
    <mergeCell ref="C16:C17"/>
    <mergeCell ref="C53:F54"/>
    <mergeCell ref="C55:E55"/>
    <mergeCell ref="C57:E57"/>
    <mergeCell ref="C59:E59"/>
    <mergeCell ref="C46:F47"/>
    <mergeCell ref="G46:G47"/>
    <mergeCell ref="A48:E48"/>
  </mergeCells>
  <conditionalFormatting sqref="A11">
    <cfRule type="expression" dxfId="33" priority="29">
      <formula>$I$11&lt;&gt;""</formula>
    </cfRule>
  </conditionalFormatting>
  <conditionalFormatting sqref="A104">
    <cfRule type="cellIs" dxfId="32" priority="5" operator="equal">
      <formula>"Falsche Vorlage, junger Mensch ist volljährig!"</formula>
    </cfRule>
  </conditionalFormatting>
  <conditionalFormatting sqref="A111:C111">
    <cfRule type="expression" dxfId="31" priority="8">
      <formula>$I$111&lt;&gt;""</formula>
    </cfRule>
  </conditionalFormatting>
  <conditionalFormatting sqref="B95:D95">
    <cfRule type="expression" dxfId="30" priority="27">
      <formula>$I$95&lt;&gt;""</formula>
    </cfRule>
  </conditionalFormatting>
  <conditionalFormatting sqref="C8">
    <cfRule type="expression" dxfId="29" priority="23">
      <formula>$I$8&lt;&gt;""</formula>
    </cfRule>
  </conditionalFormatting>
  <conditionalFormatting sqref="C11">
    <cfRule type="expression" dxfId="28" priority="2">
      <formula>$I$8&lt;&gt;""</formula>
    </cfRule>
  </conditionalFormatting>
  <conditionalFormatting sqref="E5">
    <cfRule type="expression" dxfId="27" priority="33">
      <formula>$I$5&lt;&gt;""</formula>
    </cfRule>
  </conditionalFormatting>
  <conditionalFormatting sqref="E11">
    <cfRule type="expression" dxfId="26" priority="1">
      <formula>$I$8&lt;&gt;""</formula>
    </cfRule>
  </conditionalFormatting>
  <conditionalFormatting sqref="E16">
    <cfRule type="expression" dxfId="25" priority="32">
      <formula>$I$16&lt;&gt;""</formula>
    </cfRule>
  </conditionalFormatting>
  <conditionalFormatting sqref="E42">
    <cfRule type="expression" dxfId="23" priority="28">
      <formula>$I$42&lt;&gt;""</formula>
    </cfRule>
  </conditionalFormatting>
  <conditionalFormatting sqref="E85">
    <cfRule type="expression" dxfId="21" priority="24">
      <formula>$I$85&lt;&gt;""</formula>
    </cfRule>
  </conditionalFormatting>
  <conditionalFormatting sqref="G5">
    <cfRule type="expression" dxfId="20" priority="4">
      <formula>$I$5&lt;&gt;""</formula>
    </cfRule>
  </conditionalFormatting>
  <conditionalFormatting sqref="G11">
    <cfRule type="expression" dxfId="19" priority="221">
      <formula>$I$11&lt;&gt;""</formula>
    </cfRule>
  </conditionalFormatting>
  <conditionalFormatting sqref="G99">
    <cfRule type="expression" dxfId="9" priority="26">
      <formula>$I$99&lt;&gt;""</formula>
    </cfRule>
  </conditionalFormatting>
  <conditionalFormatting sqref="G113">
    <cfRule type="expression" dxfId="6" priority="6">
      <formula>$I$113&lt;&gt;""</formula>
    </cfRule>
  </conditionalFormatting>
  <dataValidations count="12">
    <dataValidation allowBlank="1" showInputMessage="1" showErrorMessage="1" promptTitle="Hinweis" prompt="Wenn Sie hier manuelle Daten eingeben, wird die hinterlegte Formel entfernt und kein automatischer Wert mehr eingetragen!" sqref="E11 C11 G11" xr:uid="{00000000-0002-0000-0000-000000000000}"/>
    <dataValidation allowBlank="1" showInputMessage="1" showErrorMessage="1" promptTitle="Hinweis" prompt="Erläutern Sie hier ggf. den eingetragenen Wert oder verweisen Sie auf eine Erläuterung im Bescheid." sqref="C69 C40 C38 C36 C34 C32 C30 C28 C26 C24 C22 C79 C18 C20 C81 C83 C55 C57 C59 C61" xr:uid="{00000000-0002-0000-0000-000001000000}"/>
    <dataValidation type="date" operator="greaterThanOrEqual" allowBlank="1" showInputMessage="1" showErrorMessage="1" errorTitle="Falsche Eingabe" error="Diese Berechnungsvorlage kann nur für Kostenbeiträge ab dem o.a. &quot;Gültig ab&quot;-Datum verwendet werden." promptTitle="Hinweis" prompt="Tragen Sie das Datum ein, ab dem der hier berechnete Kostenbeitrag zu leisten ist (frühestens o.a. &quot;Gültig ab&quot;-Datum)." sqref="E5" xr:uid="{00000000-0002-0000-0000-000002000000}">
      <formula1>G1</formula1>
    </dataValidation>
    <dataValidation type="decimal" operator="greaterThanOrEqual" allowBlank="1" showInputMessage="1" showErrorMessage="1" errorTitle="Falsche Eingabe" error="Es sind keine negativen Beträge zulässig!" sqref="E18 E20 E22 E24 E26 E28 E30 E32 E34 E36 E38 E40" xr:uid="{00000000-0002-0000-0000-000003000000}">
      <formula1>0</formula1>
    </dataValidation>
    <dataValidation type="decimal" operator="greaterThanOrEqual" allowBlank="1" showInputMessage="1" showErrorMessage="1" errorTitle="Falsche Eingabe" error="Es sind keine negativen Beträge zulässig!" promptTitle="Hinweis" prompt="Tragen Sie hier den monatl. Betrag für diese Belastung ein." sqref="E69 E79 E81 E83 G55 G57 G59 G61" xr:uid="{00000000-0002-0000-0000-000004000000}">
      <formula1>0</formula1>
    </dataValidation>
    <dataValidation type="decimal" operator="greaterThanOrEqual" allowBlank="1" showInputMessage="1" showErrorMessage="1" errorTitle="Falsche Eingabe" error="Es sind keine negativen Beträge zulässig!" promptTitle="Hinweis" prompt="Tragen Sie hier die EINFACHE Fahrtstrecke zur Arbeitsstelle ein." sqref="B71" xr:uid="{00000000-0002-0000-0000-000005000000}">
      <formula1>0</formula1>
    </dataValidation>
    <dataValidation type="whole" allowBlank="1" showInputMessage="1" showErrorMessage="1" errorTitle="Falsche Eingabe" error="Es sind nur ganze Zahlen zwischen 1 und 365 zulässig!" promptTitle="Hinweis" prompt="Standard-Arbeitstage pro Jahr laut Arbeitsblatt &quot;Parameter&quot;._x000a_ACHTUNG: Wenn Sie die Formel überschreiben, wird der Standardwert nicht mehr automatisch eingesetzt." sqref="B73" xr:uid="{00000000-0002-0000-0000-000006000000}">
      <formula1>1</formula1>
      <formula2>365</formula2>
    </dataValidation>
    <dataValidation allowBlank="1" showInputMessage="1" showErrorMessage="1" promptTitle="Hinweis" prompt="Tragen Sie hier die Anzahl weiterer gleichrangig Unterhaltsberechtigter ein, die NICHT in stationärer Jugendhilfe untergebracht sind. Alternativ die Zahl 0." sqref="G99" xr:uid="{00000000-0002-0000-0000-000007000000}"/>
    <dataValidation allowBlank="1" showInputMessage="1" showErrorMessage="1" promptTitle="Hinweis" prompt="Geben Sie hier ggf. erläuternden Freitext ein." sqref="A117:G120" xr:uid="{00000000-0002-0000-0000-000008000000}"/>
    <dataValidation allowBlank="1" showInputMessage="1" showErrorMessage="1" promptTitle="Hinweis" prompt="Achten Sie darauf, dass diese Vorlage nur den Kostenbeitrag für MINDERJÄHRIGE junge Menschen gültig ist." sqref="C8 G5" xr:uid="{8265EE9C-EE61-4284-9FB6-53D994EC06EF}"/>
    <dataValidation type="decimal" operator="greaterThanOrEqual" allowBlank="1" showInputMessage="1" showErrorMessage="1" errorTitle="Falsche Eingabe" error="Es sind keine negativen Beträge zulässig!" promptTitle="Hinweis" prompt="Tragen Sie hier den monatl. Betrag für diese Einkunftsart ein." sqref="G48" xr:uid="{F124FED0-7F3D-4D30-AAED-073516538A02}">
      <formula1>0</formula1>
    </dataValidation>
    <dataValidation allowBlank="1" showInputMessage="1" showErrorMessage="1" promptTitle="Hinweis" prompt="Tragen Sie eine Bezeichnung für die sonstigen Einkünfte ein." sqref="A48:E48" xr:uid="{2C69FF5E-4648-4B03-B23B-47C2C8A0A893}"/>
  </dataValidations>
  <hyperlinks>
    <hyperlink ref="B1" r:id="rId1" xr:uid="{00000000-0004-0000-0000-000000000000}"/>
  </hyperlinks>
  <pageMargins left="0.98425196850393704" right="0.39370078740157483" top="0.59055118110236227" bottom="0.39370078740157483" header="0.31496062992125984" footer="0.31496062992125984"/>
  <pageSetup paperSize="9" scale="58" fitToHeight="2" orientation="portrait" blackAndWhite="1" r:id="rId2"/>
  <headerFooter>
    <oddFooter>&amp;C&amp;"Arial,Standard"&amp;10&amp;F vom &amp;D
Seite &amp;P/&amp;N</oddFooter>
  </headerFooter>
  <rowBreaks count="1" manualBreakCount="1">
    <brk id="91" max="16383" man="1"/>
  </rowBreaks>
  <extLst>
    <ext xmlns:x14="http://schemas.microsoft.com/office/spreadsheetml/2009/9/main" uri="{78C0D931-6437-407d-A8EE-F0AAD7539E65}">
      <x14:conditionalFormattings>
        <x14:conditionalFormatting xmlns:xm="http://schemas.microsoft.com/office/excel/2006/main">
          <x14:cfRule type="cellIs" priority="223" operator="equal" id="{F844AE3C-220D-49E1-89EA-DA98BA9EF09D}">
            <xm:f>Auswahlwerte!$B$7</xm:f>
            <x14:dxf>
              <font>
                <color rgb="FFC00000"/>
              </font>
            </x14:dxf>
          </x14:cfRule>
          <xm:sqref>E18 G18 E20 G20 E22 G22 E24 G24 E26 G26 E28 G28 E30 G30 E32 G32 E34 G34 E36 G36 E38 G38 E40 G40 E42 E44 G44 G67 E69 G69 D71:E71 G71 D73:E73 G73 E75 G75 E79 G79 E81 G81 E83 G83 E85 E87 E89 G89 E91 G91</xm:sqref>
        </x14:conditionalFormatting>
        <x14:conditionalFormatting xmlns:xm="http://schemas.microsoft.com/office/excel/2006/main">
          <x14:cfRule type="cellIs" priority="3" operator="equal" id="{EDC9B277-52A9-4E1A-A075-01D5432FD670}">
            <xm:f>Auswahlwerte!$B$7</xm:f>
            <x14:dxf>
              <font>
                <color rgb="FFC00000"/>
              </font>
            </x14:dxf>
          </x14:cfRule>
          <xm:sqref>E77 G77</xm:sqref>
        </x14:conditionalFormatting>
        <x14:conditionalFormatting xmlns:xm="http://schemas.microsoft.com/office/excel/2006/main">
          <x14:cfRule type="cellIs" priority="222" operator="equal" id="{77A6677C-7F86-4AFC-A68E-6E192CA33EB5}">
            <xm:f>Auswahlwerte!$B$7</xm:f>
            <x14:dxf>
              <font>
                <color rgb="FFC00000"/>
              </font>
            </x14:dxf>
          </x14:cfRule>
          <xm:sqref>G11</xm:sqref>
        </x14:conditionalFormatting>
        <x14:conditionalFormatting xmlns:xm="http://schemas.microsoft.com/office/excel/2006/main">
          <x14:cfRule type="cellIs" priority="14" operator="equal" id="{6564229E-6D58-43EC-8C57-03281DBA4CD8}">
            <xm:f>Auswahlwerte!$B$7</xm:f>
            <x14:dxf>
              <font>
                <color rgb="FFC00000"/>
              </font>
            </x14:dxf>
          </x14:cfRule>
          <xm:sqref>G48</xm:sqref>
        </x14:conditionalFormatting>
        <x14:conditionalFormatting xmlns:xm="http://schemas.microsoft.com/office/excel/2006/main">
          <x14:cfRule type="cellIs" priority="13" operator="equal" id="{FE94236A-0834-4DE5-970D-71A9CA4BD546}">
            <xm:f>Auswahlwerte!$B$7</xm:f>
            <x14:dxf>
              <font>
                <color rgb="FFC00000"/>
              </font>
            </x14:dxf>
          </x14:cfRule>
          <xm:sqref>G50</xm:sqref>
        </x14:conditionalFormatting>
        <x14:conditionalFormatting xmlns:xm="http://schemas.microsoft.com/office/excel/2006/main">
          <x14:cfRule type="cellIs" priority="21" operator="equal" id="{038FE9E9-8ED6-4B72-961E-FF63D07EB21A}">
            <xm:f>Auswahlwerte!$B$7</xm:f>
            <x14:dxf>
              <font>
                <color rgb="FFC00000"/>
              </font>
            </x14:dxf>
          </x14:cfRule>
          <xm:sqref>G52</xm:sqref>
        </x14:conditionalFormatting>
        <x14:conditionalFormatting xmlns:xm="http://schemas.microsoft.com/office/excel/2006/main">
          <x14:cfRule type="cellIs" priority="22" operator="equal" id="{E012759A-5AB5-4407-AC0B-0819BE6FCE47}">
            <xm:f>Auswahlwerte!$B$7</xm:f>
            <x14:dxf>
              <font>
                <color rgb="FFC00000"/>
              </font>
            </x14:dxf>
          </x14:cfRule>
          <xm:sqref>G55</xm:sqref>
        </x14:conditionalFormatting>
        <x14:conditionalFormatting xmlns:xm="http://schemas.microsoft.com/office/excel/2006/main">
          <x14:cfRule type="cellIs" priority="20" operator="equal" id="{1D95AD79-E88E-429A-9DCA-A21337DB77C9}">
            <xm:f>Auswahlwerte!$B$7</xm:f>
            <x14:dxf>
              <font>
                <color rgb="FFC00000"/>
              </font>
            </x14:dxf>
          </x14:cfRule>
          <xm:sqref>G57</xm:sqref>
        </x14:conditionalFormatting>
        <x14:conditionalFormatting xmlns:xm="http://schemas.microsoft.com/office/excel/2006/main">
          <x14:cfRule type="cellIs" priority="19" operator="equal" id="{92371502-51BF-42B2-9CDC-A00A24903022}">
            <xm:f>Auswahlwerte!$B$7</xm:f>
            <x14:dxf>
              <font>
                <color rgb="FFC00000"/>
              </font>
            </x14:dxf>
          </x14:cfRule>
          <xm:sqref>G59</xm:sqref>
        </x14:conditionalFormatting>
        <x14:conditionalFormatting xmlns:xm="http://schemas.microsoft.com/office/excel/2006/main">
          <x14:cfRule type="cellIs" priority="18" operator="equal" id="{DA681F58-470C-45DD-9E89-7F88DBC93AC7}">
            <xm:f>Auswahlwerte!$B$7</xm:f>
            <x14:dxf>
              <font>
                <color rgb="FFC00000"/>
              </font>
            </x14:dxf>
          </x14:cfRule>
          <xm:sqref>G61</xm:sqref>
        </x14:conditionalFormatting>
        <x14:conditionalFormatting xmlns:xm="http://schemas.microsoft.com/office/excel/2006/main">
          <x14:cfRule type="cellIs" priority="15" operator="equal" id="{CD3E4C46-691F-40DA-A183-3754E694ACA3}">
            <xm:f>Auswahlwerte!$B$7</xm:f>
            <x14:dxf>
              <font>
                <color rgb="FFC00000"/>
              </font>
            </x14:dxf>
          </x14:cfRule>
          <xm:sqref>G63</xm:sqref>
        </x14:conditionalFormatting>
        <x14:conditionalFormatting xmlns:xm="http://schemas.microsoft.com/office/excel/2006/main">
          <x14:cfRule type="cellIs" priority="11" operator="equal" id="{D0A49B6C-C889-48FE-87C2-6C509EBCF76D}">
            <xm:f>Auswahlwerte!$B$7</xm:f>
            <x14:dxf>
              <font>
                <color rgb="FFC00000"/>
              </font>
            </x14:dxf>
          </x14:cfRule>
          <xm:sqref>G107</xm:sqref>
        </x14:conditionalFormatting>
        <x14:conditionalFormatting xmlns:xm="http://schemas.microsoft.com/office/excel/2006/main">
          <x14:cfRule type="cellIs" priority="9" operator="equal" id="{9F2CADB4-F6E1-4FB1-B5BE-79CE39219DD8}">
            <xm:f>Auswahlwerte!$B$7</xm:f>
            <x14:dxf>
              <font>
                <color rgb="FFC00000"/>
              </font>
            </x14:dxf>
          </x14:cfRule>
          <xm:sqref>G111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Hinweis" prompt="Wählen Sie aus, ob die Einkünfte und Abzüge als Jahreswerte oder als monatliche Nettobeträge eingegeben werden." xr:uid="{00000000-0002-0000-0000-000009000000}">
          <x14:formula1>
            <xm:f>Auswahlwerte!$D$4:$D$6</xm:f>
          </x14:formula1>
          <xm:sqref>E16</xm:sqref>
        </x14:dataValidation>
        <x14:dataValidation type="list" allowBlank="1" showInputMessage="1" showErrorMessage="1" promptTitle="Hinweis" prompt="Treffen Sie eine Auswahl, welchen Einkommenszeitraum Sie zugrunde legen." xr:uid="{00000000-0002-0000-0000-00000A000000}">
          <x14:formula1>
            <xm:f>Auswahlwerte!$A$4:$A$7</xm:f>
          </x14:formula1>
          <xm:sqref>A11</xm:sqref>
        </x14:dataValidation>
        <x14:dataValidation type="list" allowBlank="1" showInputMessage="1" showErrorMessage="1" promptTitle="Hinweis" prompt="Treffen Sie hier die Auswahl, um welche Person es sich bei diesem jungen Menschen aus Sicht des Pflichtigen handelt." xr:uid="{00000000-0002-0000-0000-00000B000000}">
          <x14:formula1>
            <xm:f>Auswahlwerte!$A$26:$A$30</xm:f>
          </x14:formula1>
          <xm:sqref>B95:D95</xm:sqref>
        </x14:dataValidation>
        <x14:dataValidation type="list" allowBlank="1" showInputMessage="1" showErrorMessage="1" promptTitle="Hinweis" prompt="Treffen Sie hier eine Auswahl, um über eine etwaige Reduzierung des Kostenbeitrags wegen Wochengruppenunterbringung zu entscheiden." xr:uid="{EF0ECFEA-FA4C-40F2-8AFC-DCEA24146721}">
          <x14:formula1>
            <xm:f>Auswahlwerte!$A$34:$A$38</xm:f>
          </x14:formula1>
          <xm:sqref>A111:C111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topLeftCell="A22" workbookViewId="0">
      <selection activeCell="A35" sqref="A35:A38"/>
    </sheetView>
  </sheetViews>
  <sheetFormatPr baseColWidth="10" defaultColWidth="11.44140625" defaultRowHeight="21.9" customHeight="1" x14ac:dyDescent="0.3"/>
  <cols>
    <col min="1" max="1" width="96.6640625" style="27" bestFit="1" customWidth="1"/>
    <col min="2" max="3" width="17.88671875" style="46" customWidth="1"/>
    <col min="4" max="4" width="55.5546875" style="27" bestFit="1" customWidth="1"/>
    <col min="5" max="5" width="40.33203125" style="27" bestFit="1" customWidth="1"/>
    <col min="6" max="6" width="15" style="27" customWidth="1"/>
    <col min="7" max="16384" width="11.44140625" style="27"/>
  </cols>
  <sheetData>
    <row r="1" spans="1:5" ht="21.9" customHeight="1" thickBot="1" x14ac:dyDescent="0.35">
      <c r="A1" s="26" t="s">
        <v>5</v>
      </c>
      <c r="B1" s="26"/>
      <c r="C1" s="26"/>
      <c r="D1" s="26"/>
      <c r="E1" s="26"/>
    </row>
    <row r="2" spans="1:5" s="31" customFormat="1" ht="21.9" customHeight="1" x14ac:dyDescent="0.3">
      <c r="A2" s="28" t="s">
        <v>4</v>
      </c>
      <c r="B2" s="29" t="s">
        <v>7</v>
      </c>
      <c r="C2" s="30"/>
      <c r="D2" s="28" t="s">
        <v>39</v>
      </c>
      <c r="E2" s="29" t="s">
        <v>7</v>
      </c>
    </row>
    <row r="3" spans="1:5" s="31" customFormat="1" ht="21.9" customHeight="1" x14ac:dyDescent="0.3">
      <c r="A3" s="32" t="s">
        <v>25</v>
      </c>
      <c r="B3" s="33">
        <f>VLOOKUP(Einkommenszeitraum,A4:B7,2,0)</f>
        <v>0</v>
      </c>
      <c r="C3" s="34"/>
      <c r="D3" s="32" t="s">
        <v>25</v>
      </c>
      <c r="E3" s="33">
        <f>VLOOKUP(BetragsartEinkommenNST,D4:E6,2,0)</f>
        <v>0</v>
      </c>
    </row>
    <row r="4" spans="1:5" s="37" customFormat="1" ht="21.9" customHeight="1" x14ac:dyDescent="0.3">
      <c r="A4" s="32" t="s">
        <v>52</v>
      </c>
      <c r="B4" s="40">
        <v>0</v>
      </c>
      <c r="C4" s="35"/>
      <c r="D4" s="32" t="s">
        <v>52</v>
      </c>
      <c r="E4" s="36">
        <v>0</v>
      </c>
    </row>
    <row r="5" spans="1:5" s="39" customFormat="1" ht="21.9" customHeight="1" x14ac:dyDescent="0.25">
      <c r="A5" s="38" t="s">
        <v>56</v>
      </c>
      <c r="B5" s="36">
        <f>YEAR(Berechnungsbeginn)-1</f>
        <v>1899</v>
      </c>
      <c r="C5" s="34"/>
      <c r="D5" s="32" t="s">
        <v>48</v>
      </c>
      <c r="E5" s="36">
        <v>1</v>
      </c>
    </row>
    <row r="6" spans="1:5" ht="21.9" customHeight="1" x14ac:dyDescent="0.3">
      <c r="A6" s="32" t="s">
        <v>53</v>
      </c>
      <c r="B6" s="40">
        <f>YEAR(Berechnungsbeginn)</f>
        <v>1900</v>
      </c>
      <c r="C6" s="34"/>
      <c r="D6" s="32" t="s">
        <v>49</v>
      </c>
      <c r="E6" s="36">
        <v>2</v>
      </c>
    </row>
    <row r="7" spans="1:5" s="31" customFormat="1" ht="21.9" customHeight="1" x14ac:dyDescent="0.3">
      <c r="A7" s="32" t="s">
        <v>6</v>
      </c>
      <c r="B7" s="40" t="s">
        <v>10</v>
      </c>
      <c r="C7" s="41"/>
    </row>
    <row r="8" spans="1:5" s="37" customFormat="1" ht="21.9" customHeight="1" x14ac:dyDescent="0.3">
      <c r="A8" s="31"/>
      <c r="B8" s="42"/>
      <c r="C8" s="42"/>
    </row>
    <row r="9" spans="1:5" s="39" customFormat="1" ht="21.9" customHeight="1" x14ac:dyDescent="0.25">
      <c r="B9" s="43"/>
      <c r="C9" s="43"/>
    </row>
    <row r="10" spans="1:5" ht="21.9" customHeight="1" x14ac:dyDescent="0.3">
      <c r="A10" s="28" t="s">
        <v>29</v>
      </c>
      <c r="B10" s="28" t="s">
        <v>30</v>
      </c>
      <c r="C10" s="44"/>
      <c r="D10" s="28" t="s">
        <v>26</v>
      </c>
      <c r="E10" s="28" t="s">
        <v>27</v>
      </c>
    </row>
    <row r="11" spans="1:5" s="31" customFormat="1" ht="21.9" customHeight="1" x14ac:dyDescent="0.3">
      <c r="A11" s="40">
        <v>1</v>
      </c>
      <c r="B11" s="45" t="s">
        <v>13</v>
      </c>
      <c r="C11" s="44"/>
      <c r="D11" s="45" t="s">
        <v>38</v>
      </c>
      <c r="E11" s="45" t="e">
        <f>VLOOKUP(MONTH(EinkommenVon),$A$11:$B$22,2,0) &amp; " " &amp;YEAR(EinkommenVon)</f>
        <v>#VALUE!</v>
      </c>
    </row>
    <row r="12" spans="1:5" s="37" customFormat="1" ht="21.9" customHeight="1" x14ac:dyDescent="0.3">
      <c r="A12" s="40">
        <v>2</v>
      </c>
      <c r="B12" s="45" t="s">
        <v>14</v>
      </c>
      <c r="C12" s="44"/>
      <c r="D12" s="45" t="s">
        <v>46</v>
      </c>
      <c r="E12" s="45" t="e">
        <f>VLOOKUP(MONTH(EDATE(EinkommenVon,1)),$A$11:$B$22,2,0) &amp; " " &amp; YEAR(EDATE(EinkommenVon,1))</f>
        <v>#VALUE!</v>
      </c>
    </row>
    <row r="13" spans="1:5" s="39" customFormat="1" ht="21.9" customHeight="1" x14ac:dyDescent="0.25">
      <c r="A13" s="40">
        <v>3</v>
      </c>
      <c r="B13" s="45" t="s">
        <v>15</v>
      </c>
      <c r="C13" s="44"/>
      <c r="D13" s="45" t="s">
        <v>37</v>
      </c>
      <c r="E13" s="45" t="e">
        <f>VLOOKUP(MONTH(EDATE(EinkommenVon,2)),$A$11:$B$22,2,0) &amp; " " &amp; YEAR(EDATE(EinkommenVon,2))</f>
        <v>#VALUE!</v>
      </c>
    </row>
    <row r="14" spans="1:5" ht="21.9" customHeight="1" x14ac:dyDescent="0.3">
      <c r="A14" s="40">
        <v>4</v>
      </c>
      <c r="B14" s="45" t="s">
        <v>16</v>
      </c>
      <c r="C14" s="44"/>
      <c r="D14" s="45" t="s">
        <v>33</v>
      </c>
      <c r="E14" s="45" t="e">
        <f>VLOOKUP(MONTH(EDATE(EinkommenVon,3)),$A$11:$B$22,2,0) &amp; " " &amp; YEAR(EDATE(EinkommenVon,3))</f>
        <v>#VALUE!</v>
      </c>
    </row>
    <row r="15" spans="1:5" s="31" customFormat="1" ht="21.9" customHeight="1" x14ac:dyDescent="0.3">
      <c r="A15" s="40">
        <v>5</v>
      </c>
      <c r="B15" s="45" t="s">
        <v>17</v>
      </c>
      <c r="C15" s="44"/>
      <c r="D15" s="45" t="s">
        <v>34</v>
      </c>
      <c r="E15" s="45" t="e">
        <f>VLOOKUP(MONTH(EDATE(EinkommenVon,4)),$A$11:$B$22,2,0) &amp; " " &amp; YEAR(EDATE(EinkommenVon,4))</f>
        <v>#VALUE!</v>
      </c>
    </row>
    <row r="16" spans="1:5" s="37" customFormat="1" ht="21.9" customHeight="1" x14ac:dyDescent="0.3">
      <c r="A16" s="40">
        <v>6</v>
      </c>
      <c r="B16" s="45" t="s">
        <v>18</v>
      </c>
      <c r="C16" s="44"/>
      <c r="D16" s="45" t="s">
        <v>63</v>
      </c>
      <c r="E16" s="45" t="e">
        <f>VLOOKUP(MONTH(EDATE(EinkommenVon,5)),$A$11:$B$22,2,0) &amp; " " &amp; YEAR(EDATE(EinkommenVon,5))</f>
        <v>#VALUE!</v>
      </c>
    </row>
    <row r="17" spans="1:5" s="39" customFormat="1" ht="21.9" customHeight="1" x14ac:dyDescent="0.25">
      <c r="A17" s="40">
        <v>7</v>
      </c>
      <c r="B17" s="45" t="s">
        <v>19</v>
      </c>
      <c r="C17" s="44"/>
      <c r="D17" s="45" t="s">
        <v>11</v>
      </c>
      <c r="E17" s="45" t="e">
        <f>VLOOKUP(MONTH(EDATE(EinkommenVon,6)),$A$11:$B$22,2,0) &amp; " " &amp; YEAR(EDATE(EinkommenVon,6))</f>
        <v>#VALUE!</v>
      </c>
    </row>
    <row r="18" spans="1:5" ht="21.9" customHeight="1" x14ac:dyDescent="0.3">
      <c r="A18" s="40">
        <v>8</v>
      </c>
      <c r="B18" s="45" t="s">
        <v>20</v>
      </c>
      <c r="C18" s="44"/>
      <c r="D18" s="45" t="s">
        <v>12</v>
      </c>
      <c r="E18" s="45" t="e">
        <f>VLOOKUP(MONTH(EDATE(EinkommenVon,7)),$A$11:$B$22,2,0) &amp; " " &amp; YEAR(EDATE(EinkommenVon,7))</f>
        <v>#VALUE!</v>
      </c>
    </row>
    <row r="19" spans="1:5" ht="21.9" customHeight="1" x14ac:dyDescent="0.3">
      <c r="A19" s="40">
        <v>9</v>
      </c>
      <c r="B19" s="45" t="s">
        <v>21</v>
      </c>
      <c r="C19" s="44"/>
      <c r="D19" s="45" t="s">
        <v>40</v>
      </c>
      <c r="E19" s="45" t="e">
        <f>VLOOKUP(MONTH(EDATE(EinkommenVon,8)),$A$11:$B$22,2,0) &amp; " " &amp; YEAR(EDATE(EinkommenVon,8))</f>
        <v>#VALUE!</v>
      </c>
    </row>
    <row r="20" spans="1:5" ht="21.9" customHeight="1" x14ac:dyDescent="0.3">
      <c r="A20" s="40">
        <v>10</v>
      </c>
      <c r="B20" s="45" t="s">
        <v>22</v>
      </c>
      <c r="C20" s="44"/>
      <c r="D20" s="45" t="s">
        <v>41</v>
      </c>
      <c r="E20" s="45" t="e">
        <f>VLOOKUP(MONTH(EDATE(EinkommenVon,9)),$A$11:$B$22,2,0) &amp; " " &amp; YEAR(EDATE(EinkommenVon,9))</f>
        <v>#VALUE!</v>
      </c>
    </row>
    <row r="21" spans="1:5" ht="21.9" customHeight="1" x14ac:dyDescent="0.3">
      <c r="A21" s="40">
        <v>11</v>
      </c>
      <c r="B21" s="45" t="s">
        <v>23</v>
      </c>
      <c r="C21" s="44"/>
      <c r="D21" s="45" t="s">
        <v>42</v>
      </c>
      <c r="E21" s="45" t="e">
        <f>VLOOKUP(MONTH(EDATE(EinkommenVon,10)),$A$11:$B$22,2,0) &amp; " " &amp; YEAR(EDATE(EinkommenVon,10))</f>
        <v>#VALUE!</v>
      </c>
    </row>
    <row r="22" spans="1:5" ht="21.9" customHeight="1" x14ac:dyDescent="0.3">
      <c r="A22" s="40">
        <v>12</v>
      </c>
      <c r="B22" s="45" t="s">
        <v>24</v>
      </c>
      <c r="C22" s="44"/>
      <c r="D22" s="45" t="s">
        <v>43</v>
      </c>
      <c r="E22" s="45" t="e">
        <f>VLOOKUP(MONTH(EDATE(EinkommenVon,11)),$A$11:$B$22,2,0) &amp; " " &amp; YEAR(EDATE(EinkommenVon,11))</f>
        <v>#VALUE!</v>
      </c>
    </row>
    <row r="23" spans="1:5" ht="21.9" customHeight="1" x14ac:dyDescent="0.3">
      <c r="E23" s="44"/>
    </row>
    <row r="24" spans="1:5" ht="21.9" customHeight="1" x14ac:dyDescent="0.3">
      <c r="A24" s="28" t="s">
        <v>80</v>
      </c>
      <c r="B24" s="28" t="s">
        <v>7</v>
      </c>
      <c r="C24" s="28" t="s">
        <v>123</v>
      </c>
      <c r="E24" s="44"/>
    </row>
    <row r="25" spans="1:5" ht="21.9" customHeight="1" x14ac:dyDescent="0.3">
      <c r="A25" s="32" t="s">
        <v>85</v>
      </c>
      <c r="B25" s="33">
        <f>VLOOKUP(AuswahlBeitragsstufe,Auswahlwerte!A26:B30,2,0)</f>
        <v>0</v>
      </c>
      <c r="C25" s="40"/>
      <c r="E25" s="44"/>
    </row>
    <row r="26" spans="1:5" ht="21.9" customHeight="1" x14ac:dyDescent="0.3">
      <c r="A26" s="32" t="s">
        <v>52</v>
      </c>
      <c r="B26" s="47">
        <v>0</v>
      </c>
      <c r="C26" s="48">
        <v>0</v>
      </c>
      <c r="E26" s="44"/>
    </row>
    <row r="27" spans="1:5" ht="21.9" customHeight="1" x14ac:dyDescent="0.3">
      <c r="A27" s="32" t="s">
        <v>81</v>
      </c>
      <c r="B27" s="47">
        <v>1</v>
      </c>
      <c r="C27" s="48">
        <f>VLOOKUP(MaßgeblEinkGruppe,Parameter!A10:F37,3,0)</f>
        <v>0</v>
      </c>
      <c r="E27" s="44"/>
    </row>
    <row r="28" spans="1:5" ht="21.9" customHeight="1" x14ac:dyDescent="0.3">
      <c r="A28" s="32" t="s">
        <v>82</v>
      </c>
      <c r="B28" s="47">
        <v>2</v>
      </c>
      <c r="C28" s="48">
        <f>VLOOKUP(MaßgeblEinkGruppe,Parameter!A10:F37,4,0)</f>
        <v>0</v>
      </c>
      <c r="D28" s="44"/>
      <c r="E28" s="44"/>
    </row>
    <row r="29" spans="1:5" ht="21.9" customHeight="1" x14ac:dyDescent="0.3">
      <c r="A29" s="32" t="s">
        <v>83</v>
      </c>
      <c r="B29" s="47">
        <v>3</v>
      </c>
      <c r="C29" s="48">
        <f>VLOOKUP(MaßgeblEinkGruppe,Parameter!A10:F37,5,0)</f>
        <v>0</v>
      </c>
    </row>
    <row r="30" spans="1:5" ht="21.9" customHeight="1" x14ac:dyDescent="0.3">
      <c r="A30" s="32" t="s">
        <v>84</v>
      </c>
      <c r="B30" s="47">
        <v>4</v>
      </c>
      <c r="C30" s="48">
        <f>VLOOKUP(MaßgeblEinkGruppe,Parameter!A10:F37,6,0)</f>
        <v>0</v>
      </c>
    </row>
    <row r="32" spans="1:5" ht="21.9" customHeight="1" x14ac:dyDescent="0.3">
      <c r="A32" s="141" t="s">
        <v>141</v>
      </c>
      <c r="B32" s="141" t="s">
        <v>7</v>
      </c>
      <c r="C32" s="28" t="s">
        <v>142</v>
      </c>
    </row>
    <row r="33" spans="1:3" ht="21.9" customHeight="1" x14ac:dyDescent="0.3">
      <c r="A33" s="140" t="s">
        <v>85</v>
      </c>
      <c r="B33" s="33">
        <f>VLOOKUP(Berechnung!A111,A34:C38,2,0)</f>
        <v>0</v>
      </c>
      <c r="C33" s="47">
        <f>VLOOKUP(Berechnung!A111,A34:C38,3,0)</f>
        <v>0</v>
      </c>
    </row>
    <row r="34" spans="1:3" ht="21.9" customHeight="1" x14ac:dyDescent="0.3">
      <c r="A34" s="140" t="s">
        <v>52</v>
      </c>
      <c r="B34" s="47">
        <v>0</v>
      </c>
      <c r="C34" s="47">
        <v>0</v>
      </c>
    </row>
    <row r="35" spans="1:3" ht="21.9" customHeight="1" x14ac:dyDescent="0.3">
      <c r="A35" s="140" t="s">
        <v>150</v>
      </c>
      <c r="B35" s="47">
        <v>1</v>
      </c>
      <c r="C35" s="47">
        <v>0</v>
      </c>
    </row>
    <row r="36" spans="1:3" ht="21.9" customHeight="1" x14ac:dyDescent="0.3">
      <c r="A36" s="140" t="s">
        <v>149</v>
      </c>
      <c r="B36" s="47">
        <v>1</v>
      </c>
      <c r="C36" s="47">
        <v>0</v>
      </c>
    </row>
    <row r="37" spans="1:3" ht="21.9" customHeight="1" x14ac:dyDescent="0.3">
      <c r="A37" s="140" t="s">
        <v>151</v>
      </c>
      <c r="B37" s="47">
        <v>2</v>
      </c>
      <c r="C37" s="47">
        <v>50</v>
      </c>
    </row>
    <row r="38" spans="1:3" ht="21.9" customHeight="1" x14ac:dyDescent="0.3">
      <c r="A38" s="140" t="s">
        <v>152</v>
      </c>
      <c r="B38" s="47">
        <v>3</v>
      </c>
      <c r="C38" s="47">
        <v>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1"/>
  <sheetViews>
    <sheetView showGridLines="0" workbookViewId="0">
      <selection activeCell="D4" sqref="D4"/>
    </sheetView>
  </sheetViews>
  <sheetFormatPr baseColWidth="10" defaultColWidth="11.44140625" defaultRowHeight="21.9" customHeight="1" x14ac:dyDescent="0.3"/>
  <cols>
    <col min="1" max="1" width="44.5546875" style="5" customWidth="1"/>
    <col min="2" max="2" width="55" style="9" bestFit="1" customWidth="1"/>
    <col min="3" max="8" width="22.33203125" style="9" customWidth="1"/>
    <col min="9" max="16384" width="11.44140625" style="1"/>
  </cols>
  <sheetData>
    <row r="1" spans="1:8" ht="21.9" customHeight="1" x14ac:dyDescent="0.3">
      <c r="A1" s="170" t="s">
        <v>68</v>
      </c>
      <c r="B1" s="170"/>
    </row>
    <row r="2" spans="1:8" s="6" customFormat="1" ht="21.9" customHeight="1" x14ac:dyDescent="0.3">
      <c r="A2" s="8" t="s">
        <v>70</v>
      </c>
      <c r="B2" s="7" t="s">
        <v>7</v>
      </c>
      <c r="C2" s="7" t="s">
        <v>147</v>
      </c>
      <c r="D2" s="146" t="s">
        <v>155</v>
      </c>
      <c r="E2" s="146" t="s">
        <v>156</v>
      </c>
      <c r="F2" s="7"/>
      <c r="G2" s="7"/>
      <c r="H2" s="7"/>
    </row>
    <row r="3" spans="1:8" ht="21.9" customHeight="1" x14ac:dyDescent="0.3">
      <c r="A3" s="5" t="s">
        <v>69</v>
      </c>
      <c r="B3" s="24">
        <v>0.3</v>
      </c>
      <c r="C3" s="143">
        <v>20</v>
      </c>
      <c r="D3" s="14"/>
      <c r="E3" s="14"/>
    </row>
    <row r="4" spans="1:8" ht="21.9" customHeight="1" x14ac:dyDescent="0.3">
      <c r="A4" s="5" t="s">
        <v>148</v>
      </c>
      <c r="B4" s="24">
        <v>0.35</v>
      </c>
      <c r="C4" s="5"/>
      <c r="D4" s="14">
        <v>2021</v>
      </c>
      <c r="E4" s="14">
        <v>2021</v>
      </c>
    </row>
    <row r="5" spans="1:8" ht="21.9" customHeight="1" x14ac:dyDescent="0.3">
      <c r="A5" s="5" t="s">
        <v>154</v>
      </c>
      <c r="B5" s="24">
        <v>0.38</v>
      </c>
      <c r="C5" s="5"/>
      <c r="D5" s="14">
        <v>2022</v>
      </c>
      <c r="E5" s="14">
        <v>2026</v>
      </c>
    </row>
    <row r="6" spans="1:8" ht="21.9" customHeight="1" x14ac:dyDescent="0.3">
      <c r="A6" s="5" t="s">
        <v>71</v>
      </c>
      <c r="B6" s="25">
        <v>220</v>
      </c>
    </row>
    <row r="8" spans="1:8" ht="21.9" customHeight="1" x14ac:dyDescent="0.3">
      <c r="A8" s="8" t="s">
        <v>86</v>
      </c>
    </row>
    <row r="9" spans="1:8" s="2" customFormat="1" ht="27.6" x14ac:dyDescent="0.3">
      <c r="A9" s="4" t="s">
        <v>87</v>
      </c>
      <c r="B9" s="4" t="s">
        <v>93</v>
      </c>
      <c r="C9" s="3" t="s">
        <v>88</v>
      </c>
      <c r="D9" s="3" t="s">
        <v>89</v>
      </c>
      <c r="E9" s="3" t="s">
        <v>90</v>
      </c>
      <c r="F9" s="3" t="s">
        <v>91</v>
      </c>
      <c r="G9" s="3" t="s">
        <v>92</v>
      </c>
    </row>
    <row r="10" spans="1:8" ht="21.9" customHeight="1" x14ac:dyDescent="0.3">
      <c r="A10" s="10">
        <v>1</v>
      </c>
      <c r="B10" s="12">
        <v>1100.99</v>
      </c>
      <c r="C10" s="24">
        <v>0</v>
      </c>
      <c r="D10" s="24">
        <v>0</v>
      </c>
      <c r="E10" s="24">
        <v>0</v>
      </c>
      <c r="F10" s="24">
        <v>0</v>
      </c>
      <c r="G10" s="18" t="str">
        <f>IF(MaßgeblEinkommen&lt;=Parameter!B10,Parameter!A10,"")</f>
        <v/>
      </c>
      <c r="H10" s="1"/>
    </row>
    <row r="11" spans="1:8" ht="21.9" customHeight="1" x14ac:dyDescent="0.3">
      <c r="A11" s="10">
        <v>2</v>
      </c>
      <c r="B11" s="12">
        <v>1200.99</v>
      </c>
      <c r="C11" s="24">
        <v>50</v>
      </c>
      <c r="D11" s="24">
        <v>0</v>
      </c>
      <c r="E11" s="24">
        <v>0</v>
      </c>
      <c r="F11" s="24">
        <v>40</v>
      </c>
      <c r="G11" s="18" t="str">
        <f>IF(AND(MaßgeblEinkommen&lt;=Parameter!B11,MaßgeblEinkommen&gt;Parameter!B10)=TRUE,Parameter!A11,"")</f>
        <v/>
      </c>
      <c r="H11" s="1"/>
    </row>
    <row r="12" spans="1:8" ht="21.9" customHeight="1" x14ac:dyDescent="0.3">
      <c r="A12" s="10">
        <v>3</v>
      </c>
      <c r="B12" s="12">
        <v>1300.99</v>
      </c>
      <c r="C12" s="24">
        <v>130</v>
      </c>
      <c r="D12" s="24">
        <v>0</v>
      </c>
      <c r="E12" s="24">
        <v>0</v>
      </c>
      <c r="F12" s="24">
        <v>50</v>
      </c>
      <c r="G12" s="18" t="str">
        <f>IF(AND(MaßgeblEinkommen&lt;=Parameter!B12,MaßgeblEinkommen&gt;Parameter!B11)=TRUE,Parameter!A12,"")</f>
        <v/>
      </c>
      <c r="H12" s="1"/>
    </row>
    <row r="13" spans="1:8" ht="21.9" customHeight="1" x14ac:dyDescent="0.3">
      <c r="A13" s="10">
        <v>4</v>
      </c>
      <c r="B13" s="12">
        <v>1450.99</v>
      </c>
      <c r="C13" s="24">
        <v>210</v>
      </c>
      <c r="D13" s="24">
        <v>30</v>
      </c>
      <c r="E13" s="24">
        <v>0</v>
      </c>
      <c r="F13" s="24">
        <v>60</v>
      </c>
      <c r="G13" s="18" t="str">
        <f>IF(AND(MaßgeblEinkommen&lt;=Parameter!B13,MaßgeblEinkommen&gt;Parameter!B12)=TRUE,Parameter!A13,"")</f>
        <v/>
      </c>
      <c r="H13" s="1"/>
    </row>
    <row r="14" spans="1:8" ht="21.9" customHeight="1" x14ac:dyDescent="0.3">
      <c r="A14" s="10">
        <v>5</v>
      </c>
      <c r="B14" s="12">
        <v>1600.99</v>
      </c>
      <c r="C14" s="24">
        <v>259</v>
      </c>
      <c r="D14" s="24">
        <v>60</v>
      </c>
      <c r="E14" s="24">
        <v>30</v>
      </c>
      <c r="F14" s="24">
        <v>70</v>
      </c>
      <c r="G14" s="18" t="str">
        <f>IF(AND(MaßgeblEinkommen&lt;=Parameter!B14,MaßgeblEinkommen&gt;Parameter!B13)=TRUE,Parameter!A14,"")</f>
        <v/>
      </c>
      <c r="H14" s="1"/>
    </row>
    <row r="15" spans="1:8" ht="21.9" customHeight="1" x14ac:dyDescent="0.3">
      <c r="A15" s="10">
        <v>6</v>
      </c>
      <c r="B15" s="12">
        <v>1800.99</v>
      </c>
      <c r="C15" s="24">
        <v>289</v>
      </c>
      <c r="D15" s="24">
        <v>85</v>
      </c>
      <c r="E15" s="24">
        <v>40</v>
      </c>
      <c r="F15" s="24">
        <v>85</v>
      </c>
      <c r="G15" s="18" t="str">
        <f>IF(AND(MaßgeblEinkommen&lt;=Parameter!B15,MaßgeblEinkommen&gt;Parameter!B14)=TRUE,Parameter!A15,"")</f>
        <v/>
      </c>
      <c r="H15" s="1"/>
    </row>
    <row r="16" spans="1:8" ht="21.9" customHeight="1" x14ac:dyDescent="0.3">
      <c r="A16" s="10">
        <v>7</v>
      </c>
      <c r="B16" s="12">
        <v>2000.99</v>
      </c>
      <c r="C16" s="24">
        <v>342</v>
      </c>
      <c r="D16" s="24">
        <v>105</v>
      </c>
      <c r="E16" s="24">
        <v>50</v>
      </c>
      <c r="F16" s="24">
        <v>95</v>
      </c>
      <c r="G16" s="18" t="str">
        <f>IF(AND(MaßgeblEinkommen&lt;=Parameter!B16,MaßgeblEinkommen&gt;Parameter!B15)=TRUE,Parameter!A16,"")</f>
        <v/>
      </c>
      <c r="H16" s="1"/>
    </row>
    <row r="17" spans="1:8" ht="21.9" customHeight="1" x14ac:dyDescent="0.3">
      <c r="A17" s="10">
        <v>8</v>
      </c>
      <c r="B17" s="12">
        <v>2200.9899999999998</v>
      </c>
      <c r="C17" s="24">
        <v>378</v>
      </c>
      <c r="D17" s="24">
        <v>140</v>
      </c>
      <c r="E17" s="24">
        <v>60</v>
      </c>
      <c r="F17" s="24">
        <v>105</v>
      </c>
      <c r="G17" s="18" t="str">
        <f>IF(AND(MaßgeblEinkommen&lt;=Parameter!B17,MaßgeblEinkommen&gt;Parameter!B16)=TRUE,Parameter!A17,"")</f>
        <v/>
      </c>
      <c r="H17" s="1"/>
    </row>
    <row r="18" spans="1:8" ht="21.9" customHeight="1" x14ac:dyDescent="0.3">
      <c r="A18" s="10">
        <v>9</v>
      </c>
      <c r="B18" s="12">
        <v>2400.9899999999998</v>
      </c>
      <c r="C18" s="24">
        <v>437</v>
      </c>
      <c r="D18" s="24">
        <v>175</v>
      </c>
      <c r="E18" s="24">
        <v>80</v>
      </c>
      <c r="F18" s="24">
        <v>115</v>
      </c>
      <c r="G18" s="18" t="str">
        <f>IF(AND(MaßgeblEinkommen&lt;=Parameter!B18,MaßgeblEinkommen&gt;Parameter!B17)=TRUE,Parameter!A18,"")</f>
        <v/>
      </c>
      <c r="H18" s="1"/>
    </row>
    <row r="19" spans="1:8" ht="21.9" customHeight="1" x14ac:dyDescent="0.3">
      <c r="A19" s="10">
        <v>10</v>
      </c>
      <c r="B19" s="12">
        <v>2700.99</v>
      </c>
      <c r="C19" s="24">
        <v>510</v>
      </c>
      <c r="D19" s="24">
        <v>220</v>
      </c>
      <c r="E19" s="24">
        <v>120</v>
      </c>
      <c r="F19" s="24">
        <v>130</v>
      </c>
      <c r="G19" s="18" t="str">
        <f>IF(AND(MaßgeblEinkommen&lt;=Parameter!B19,MaßgeblEinkommen&gt;Parameter!B18)=TRUE,Parameter!A19,"")</f>
        <v/>
      </c>
      <c r="H19" s="1"/>
    </row>
    <row r="20" spans="1:8" ht="21.9" customHeight="1" x14ac:dyDescent="0.3">
      <c r="A20" s="10">
        <v>11</v>
      </c>
      <c r="B20" s="12">
        <v>3000.99</v>
      </c>
      <c r="C20" s="24">
        <v>570</v>
      </c>
      <c r="D20" s="24">
        <v>275</v>
      </c>
      <c r="E20" s="24">
        <v>165</v>
      </c>
      <c r="F20" s="24">
        <v>145</v>
      </c>
      <c r="G20" s="18" t="str">
        <f>IF(AND(MaßgeblEinkommen&lt;=Parameter!B20,MaßgeblEinkommen&gt;Parameter!B19)=TRUE,Parameter!A20,"")</f>
        <v/>
      </c>
      <c r="H20" s="1"/>
    </row>
    <row r="21" spans="1:8" ht="21.9" customHeight="1" x14ac:dyDescent="0.3">
      <c r="A21" s="10">
        <v>12</v>
      </c>
      <c r="B21" s="12">
        <v>3300.99</v>
      </c>
      <c r="C21" s="24">
        <v>630</v>
      </c>
      <c r="D21" s="24">
        <v>335</v>
      </c>
      <c r="E21" s="24">
        <v>210</v>
      </c>
      <c r="F21" s="24">
        <v>160</v>
      </c>
      <c r="G21" s="18" t="str">
        <f>IF(AND(MaßgeblEinkommen&lt;=Parameter!B21,MaßgeblEinkommen&gt;Parameter!B20)=TRUE,Parameter!A21,"")</f>
        <v/>
      </c>
      <c r="H21" s="1"/>
    </row>
    <row r="22" spans="1:8" ht="21.9" customHeight="1" x14ac:dyDescent="0.3">
      <c r="A22" s="10">
        <v>13</v>
      </c>
      <c r="B22" s="12">
        <v>3600.99</v>
      </c>
      <c r="C22" s="24">
        <v>725</v>
      </c>
      <c r="D22" s="24">
        <v>410</v>
      </c>
      <c r="E22" s="24">
        <v>260</v>
      </c>
      <c r="F22" s="24">
        <v>175</v>
      </c>
      <c r="G22" s="18" t="str">
        <f>IF(AND(MaßgeblEinkommen&lt;=Parameter!B22,MaßgeblEinkommen&gt;Parameter!B21)=TRUE,Parameter!A22,"")</f>
        <v/>
      </c>
      <c r="H22" s="1"/>
    </row>
    <row r="23" spans="1:8" ht="21.9" customHeight="1" x14ac:dyDescent="0.3">
      <c r="A23" s="10">
        <v>14</v>
      </c>
      <c r="B23" s="12">
        <v>3900.99</v>
      </c>
      <c r="C23" s="24">
        <v>825</v>
      </c>
      <c r="D23" s="24">
        <v>485</v>
      </c>
      <c r="E23" s="24">
        <v>320</v>
      </c>
      <c r="F23" s="24">
        <v>190</v>
      </c>
      <c r="G23" s="18" t="str">
        <f>IF(AND(MaßgeblEinkommen&lt;=Parameter!B23,MaßgeblEinkommen&gt;Parameter!B22)=TRUE,Parameter!A23,"")</f>
        <v/>
      </c>
      <c r="H23" s="1"/>
    </row>
    <row r="24" spans="1:8" ht="21.9" customHeight="1" x14ac:dyDescent="0.3">
      <c r="A24" s="10">
        <v>15</v>
      </c>
      <c r="B24" s="12">
        <v>4200.99</v>
      </c>
      <c r="C24" s="24">
        <v>932</v>
      </c>
      <c r="D24" s="24">
        <v>560</v>
      </c>
      <c r="E24" s="24">
        <v>380</v>
      </c>
      <c r="F24" s="24">
        <v>205</v>
      </c>
      <c r="G24" s="18" t="str">
        <f>IF(AND(MaßgeblEinkommen&lt;=Parameter!B24,MaßgeblEinkommen&gt;Parameter!B23)=TRUE,Parameter!A24,"")</f>
        <v/>
      </c>
      <c r="H24" s="1"/>
    </row>
    <row r="25" spans="1:8" ht="21.9" customHeight="1" x14ac:dyDescent="0.3">
      <c r="A25" s="10">
        <v>16</v>
      </c>
      <c r="B25" s="12">
        <v>4600.99</v>
      </c>
      <c r="C25" s="24">
        <v>1056</v>
      </c>
      <c r="D25" s="24">
        <v>635</v>
      </c>
      <c r="E25" s="24">
        <v>440</v>
      </c>
      <c r="F25" s="24">
        <v>220</v>
      </c>
      <c r="G25" s="18" t="str">
        <f>IF(AND(MaßgeblEinkommen&lt;=Parameter!B25,MaßgeblEinkommen&gt;Parameter!B24)=TRUE,Parameter!A25,"")</f>
        <v/>
      </c>
      <c r="H25" s="1"/>
    </row>
    <row r="26" spans="1:8" ht="21.9" customHeight="1" x14ac:dyDescent="0.3">
      <c r="A26" s="10">
        <v>17</v>
      </c>
      <c r="B26" s="12">
        <v>5000.99</v>
      </c>
      <c r="C26" s="24">
        <v>1152</v>
      </c>
      <c r="D26" s="24">
        <v>715</v>
      </c>
      <c r="E26" s="24">
        <v>500</v>
      </c>
      <c r="F26" s="24">
        <v>240</v>
      </c>
      <c r="G26" s="18" t="str">
        <f>IF(AND(MaßgeblEinkommen&lt;=Parameter!B26,MaßgeblEinkommen&gt;Parameter!B25)=TRUE,Parameter!A26,"")</f>
        <v/>
      </c>
      <c r="H26" s="1"/>
    </row>
    <row r="27" spans="1:8" ht="21.9" customHeight="1" x14ac:dyDescent="0.3">
      <c r="A27" s="10">
        <v>18</v>
      </c>
      <c r="B27" s="12">
        <v>5500.99</v>
      </c>
      <c r="C27" s="24">
        <v>1313</v>
      </c>
      <c r="D27" s="24">
        <v>790</v>
      </c>
      <c r="E27" s="24">
        <v>555</v>
      </c>
      <c r="F27" s="24">
        <v>265</v>
      </c>
      <c r="G27" s="18" t="str">
        <f>IF(AND(MaßgeblEinkommen&lt;=Parameter!B27,MaßgeblEinkommen&gt;Parameter!B26)=TRUE,Parameter!A27,"")</f>
        <v/>
      </c>
      <c r="H27" s="1"/>
    </row>
    <row r="28" spans="1:8" ht="21.9" customHeight="1" x14ac:dyDescent="0.3">
      <c r="A28" s="10">
        <v>19</v>
      </c>
      <c r="B28" s="12">
        <v>6000.99</v>
      </c>
      <c r="C28" s="24">
        <v>1438</v>
      </c>
      <c r="D28" s="24">
        <v>865</v>
      </c>
      <c r="E28" s="24">
        <v>605</v>
      </c>
      <c r="F28" s="24">
        <v>290</v>
      </c>
      <c r="G28" s="18" t="str">
        <f>IF(AND(MaßgeblEinkommen&lt;=Parameter!B28,MaßgeblEinkommen&gt;Parameter!B27)=TRUE,Parameter!A28,"")</f>
        <v/>
      </c>
      <c r="H28" s="1"/>
    </row>
    <row r="29" spans="1:8" ht="21.9" customHeight="1" x14ac:dyDescent="0.3">
      <c r="A29" s="10">
        <v>20</v>
      </c>
      <c r="B29" s="12">
        <v>6500.99</v>
      </c>
      <c r="C29" s="24">
        <v>1563</v>
      </c>
      <c r="D29" s="24">
        <v>940</v>
      </c>
      <c r="E29" s="24">
        <v>658</v>
      </c>
      <c r="F29" s="24">
        <v>315</v>
      </c>
      <c r="G29" s="18" t="str">
        <f>IF(AND(MaßgeblEinkommen&lt;=Parameter!B29,MaßgeblEinkommen&gt;Parameter!B28)=TRUE,Parameter!A29,"")</f>
        <v/>
      </c>
      <c r="H29" s="1"/>
    </row>
    <row r="30" spans="1:8" ht="21.9" customHeight="1" x14ac:dyDescent="0.3">
      <c r="A30" s="10">
        <v>21</v>
      </c>
      <c r="B30" s="12">
        <v>7000.99</v>
      </c>
      <c r="C30" s="24">
        <v>1688</v>
      </c>
      <c r="D30" s="24">
        <v>1015</v>
      </c>
      <c r="E30" s="24">
        <v>710</v>
      </c>
      <c r="F30" s="24">
        <v>340</v>
      </c>
      <c r="G30" s="18" t="str">
        <f>IF(AND(MaßgeblEinkommen&lt;=Parameter!B30,MaßgeblEinkommen&gt;Parameter!B29)=TRUE,Parameter!A30,"")</f>
        <v/>
      </c>
      <c r="H30" s="1"/>
    </row>
    <row r="31" spans="1:8" ht="21.9" customHeight="1" x14ac:dyDescent="0.3">
      <c r="A31" s="10">
        <v>22</v>
      </c>
      <c r="B31" s="12">
        <v>7500.99</v>
      </c>
      <c r="C31" s="24">
        <v>1813</v>
      </c>
      <c r="D31" s="24">
        <v>1090</v>
      </c>
      <c r="E31" s="24">
        <v>763</v>
      </c>
      <c r="F31" s="24">
        <v>365</v>
      </c>
      <c r="G31" s="18" t="str">
        <f>IF(AND(MaßgeblEinkommen&lt;=Parameter!B31,MaßgeblEinkommen&gt;Parameter!B30)=TRUE,Parameter!A31,"")</f>
        <v/>
      </c>
      <c r="H31" s="1"/>
    </row>
    <row r="32" spans="1:8" ht="21.9" customHeight="1" x14ac:dyDescent="0.3">
      <c r="A32" s="10">
        <v>23</v>
      </c>
      <c r="B32" s="12">
        <v>8000.99</v>
      </c>
      <c r="C32" s="24">
        <v>1938</v>
      </c>
      <c r="D32" s="24">
        <v>1165</v>
      </c>
      <c r="E32" s="24">
        <v>815</v>
      </c>
      <c r="F32" s="24">
        <v>390</v>
      </c>
      <c r="G32" s="18" t="str">
        <f>IF(AND(MaßgeblEinkommen&lt;=Parameter!B32,MaßgeblEinkommen&gt;Parameter!B31)=TRUE,Parameter!A32,"")</f>
        <v/>
      </c>
      <c r="H32" s="1"/>
    </row>
    <row r="33" spans="1:8" ht="21.9" customHeight="1" x14ac:dyDescent="0.3">
      <c r="A33" s="10">
        <v>24</v>
      </c>
      <c r="B33" s="12">
        <v>8500.99</v>
      </c>
      <c r="C33" s="24">
        <v>2063</v>
      </c>
      <c r="D33" s="24">
        <v>1240</v>
      </c>
      <c r="E33" s="24">
        <v>868</v>
      </c>
      <c r="F33" s="24">
        <v>415</v>
      </c>
      <c r="G33" s="18" t="str">
        <f>IF(AND(MaßgeblEinkommen&lt;=Parameter!B33,MaßgeblEinkommen&gt;Parameter!B32)=TRUE,Parameter!A33,"")</f>
        <v/>
      </c>
      <c r="H33" s="1"/>
    </row>
    <row r="34" spans="1:8" ht="21.9" customHeight="1" x14ac:dyDescent="0.3">
      <c r="A34" s="10">
        <v>25</v>
      </c>
      <c r="B34" s="12">
        <v>9000.99</v>
      </c>
      <c r="C34" s="24">
        <v>2188</v>
      </c>
      <c r="D34" s="24">
        <v>1315</v>
      </c>
      <c r="E34" s="24">
        <v>920</v>
      </c>
      <c r="F34" s="24">
        <v>440</v>
      </c>
      <c r="G34" s="18" t="str">
        <f>IF(AND(MaßgeblEinkommen&lt;=Parameter!B34,MaßgeblEinkommen&gt;Parameter!B33)=TRUE,Parameter!A34,"")</f>
        <v/>
      </c>
      <c r="H34" s="1"/>
    </row>
    <row r="35" spans="1:8" ht="21.9" customHeight="1" x14ac:dyDescent="0.3">
      <c r="A35" s="10">
        <v>26</v>
      </c>
      <c r="B35" s="12">
        <v>9500.99</v>
      </c>
      <c r="C35" s="24">
        <v>2313</v>
      </c>
      <c r="D35" s="24">
        <v>1390</v>
      </c>
      <c r="E35" s="24">
        <v>973</v>
      </c>
      <c r="F35" s="24">
        <v>465</v>
      </c>
      <c r="G35" s="18" t="str">
        <f>IF(AND(MaßgeblEinkommen&lt;=Parameter!B35,MaßgeblEinkommen&gt;Parameter!B34)=TRUE,Parameter!A35,"")</f>
        <v/>
      </c>
      <c r="H35" s="1"/>
    </row>
    <row r="36" spans="1:8" ht="21.9" customHeight="1" x14ac:dyDescent="0.3">
      <c r="A36" s="10">
        <v>27</v>
      </c>
      <c r="B36" s="12">
        <v>10000.99</v>
      </c>
      <c r="C36" s="24">
        <v>2438</v>
      </c>
      <c r="D36" s="24">
        <v>1465</v>
      </c>
      <c r="E36" s="24">
        <v>1025</v>
      </c>
      <c r="F36" s="24">
        <v>490</v>
      </c>
      <c r="G36" s="18" t="str">
        <f>IF(AND(MaßgeblEinkommen&lt;=Parameter!B36,MaßgeblEinkommen&gt;Parameter!B35)=TRUE,Parameter!A36,"")</f>
        <v/>
      </c>
      <c r="H36" s="1"/>
    </row>
    <row r="37" spans="1:8" ht="21.9" customHeight="1" x14ac:dyDescent="0.3">
      <c r="A37" s="10">
        <v>28</v>
      </c>
      <c r="B37" s="12">
        <v>999999.99</v>
      </c>
      <c r="C37" s="11" t="e">
        <f>Parameter!D48</f>
        <v>#VALUE!</v>
      </c>
      <c r="D37" s="11" t="e">
        <f>D49</f>
        <v>#VALUE!</v>
      </c>
      <c r="E37" s="11" t="e">
        <f>D50</f>
        <v>#VALUE!</v>
      </c>
      <c r="F37" s="11" t="e">
        <f>D51</f>
        <v>#VALUE!</v>
      </c>
      <c r="G37" s="18" t="str">
        <f>IF(AND(MaßgeblEinkommen&lt;=Parameter!B37,MaßgeblEinkommen&gt;Parameter!B36)=TRUE,Parameter!A37,"")</f>
        <v/>
      </c>
      <c r="H37" s="1"/>
    </row>
    <row r="38" spans="1:8" ht="21.9" customHeight="1" thickBot="1" x14ac:dyDescent="0.35"/>
    <row r="39" spans="1:8" ht="21.9" customHeight="1" thickBot="1" x14ac:dyDescent="0.35">
      <c r="A39" s="16" t="s">
        <v>94</v>
      </c>
      <c r="B39" s="17">
        <f>MAX(G10:G37)</f>
        <v>0</v>
      </c>
      <c r="C39" s="171" t="str">
        <f>"("&amp;IF(MaßgeblEinkommen&lt;B10,"unter "&amp;TEXT(B10,"#.##0,00 €") &amp;")",IF(MaßgeblEinkommen&gt;Parameter!B36,"über "&amp;TEXT(Parameter!B36,"#.##0,00 €"),IF(MaßgeblEinkommen&lt;=Parameter!B10,TEXT(0,"#.##0,00 €"),TEXT(VLOOKUP(VorlEinkommensgruppe-1,A10:B37,2)+0.01,"#.##0,00 €")&amp;" bis "&amp;TEXT(VLOOKUP(VorlEinkommensgruppe,A10:B37,2),"#.##0,00 €")))&amp;")")</f>
        <v>(über 10.000,99 €)</v>
      </c>
      <c r="D39" s="172"/>
    </row>
    <row r="41" spans="1:8" ht="21.9" customHeight="1" x14ac:dyDescent="0.3">
      <c r="A41" s="15" t="s">
        <v>95</v>
      </c>
      <c r="B41" s="13">
        <f>AnzWeitereUHBerechtigte</f>
        <v>0</v>
      </c>
    </row>
    <row r="43" spans="1:8" ht="21.9" customHeight="1" x14ac:dyDescent="0.3">
      <c r="A43" s="15" t="s">
        <v>103</v>
      </c>
      <c r="B43" s="13">
        <f>IF(OR(AnzWeitereUHBerechtigte&lt;1,AnzWeitereUHBerechtigte="",VorlEinkommensgruppe&gt;18)=TRUE,VorlEinkommensgruppe,IF(VorlEinkommensgruppe-AnzWeitereUHBerechtigte&lt;1,1,IF(AND(VorlEinkommensgruppe&gt;=2,VorlEinkommensgruppe&lt;=6)=TRUE,VorlEinkommensgruppe-2*AnzWeitereUHBerechtigte,VorlEinkommensgruppe-AnzWeitereUHBerechtigte)))</f>
        <v>0</v>
      </c>
      <c r="C43" s="14"/>
    </row>
    <row r="44" spans="1:8" ht="21.9" customHeight="1" x14ac:dyDescent="0.3">
      <c r="A44" s="15" t="s">
        <v>96</v>
      </c>
      <c r="B44" s="13">
        <f>IF(B43&lt;=0,1,IF(DATEDIF(GeburtsdatumJM,Berechnungsbeginn,"D")&gt;=6574,IF(B43&gt;13,13,IF(OR(B43=2,B43=3)=TRUE,1,IF(B43=4,2,B43))),B43))</f>
        <v>1</v>
      </c>
      <c r="C44" s="1"/>
    </row>
    <row r="45" spans="1:8" ht="21.9" customHeight="1" x14ac:dyDescent="0.3">
      <c r="A45" s="15" t="s">
        <v>102</v>
      </c>
      <c r="B45" s="13">
        <f>Beitragsstufe</f>
        <v>0</v>
      </c>
    </row>
    <row r="47" spans="1:8" ht="21.9" customHeight="1" x14ac:dyDescent="0.3">
      <c r="A47" s="21" t="s">
        <v>105</v>
      </c>
      <c r="B47" s="22" t="s">
        <v>107</v>
      </c>
      <c r="C47" s="22" t="s">
        <v>108</v>
      </c>
      <c r="D47" s="23" t="s">
        <v>109</v>
      </c>
      <c r="E47" s="23" t="s">
        <v>115</v>
      </c>
    </row>
    <row r="48" spans="1:8" ht="21.9" customHeight="1" x14ac:dyDescent="0.3">
      <c r="A48" s="15" t="s">
        <v>106</v>
      </c>
      <c r="B48" s="13">
        <v>1</v>
      </c>
      <c r="C48" s="13">
        <v>25</v>
      </c>
      <c r="D48" s="20" t="e">
        <f>MaßgeblEinkommen*Parameter!C48/100</f>
        <v>#VALUE!</v>
      </c>
      <c r="E48" s="19" t="s">
        <v>112</v>
      </c>
    </row>
    <row r="49" spans="1:5" ht="21.9" customHeight="1" x14ac:dyDescent="0.3">
      <c r="A49" s="15" t="s">
        <v>106</v>
      </c>
      <c r="B49" s="13">
        <v>2</v>
      </c>
      <c r="C49" s="13">
        <v>15</v>
      </c>
      <c r="D49" s="20" t="e">
        <f>MaßgeblEinkommen*Parameter!C49/100</f>
        <v>#VALUE!</v>
      </c>
      <c r="E49" s="19" t="s">
        <v>113</v>
      </c>
    </row>
    <row r="50" spans="1:5" ht="21.9" customHeight="1" x14ac:dyDescent="0.3">
      <c r="A50" s="15" t="s">
        <v>106</v>
      </c>
      <c r="B50" s="13">
        <v>3</v>
      </c>
      <c r="C50" s="13">
        <v>10</v>
      </c>
      <c r="D50" s="20" t="e">
        <f>MaßgeblEinkommen*Parameter!C50/100</f>
        <v>#VALUE!</v>
      </c>
      <c r="E50" s="19" t="s">
        <v>114</v>
      </c>
    </row>
    <row r="51" spans="1:5" ht="21.9" customHeight="1" x14ac:dyDescent="0.3">
      <c r="A51" s="15" t="s">
        <v>110</v>
      </c>
      <c r="B51" s="13">
        <v>4</v>
      </c>
      <c r="C51" s="13">
        <v>5</v>
      </c>
      <c r="D51" s="20" t="e">
        <f>MaßgeblEinkommen*Parameter!C51/100</f>
        <v>#VALUE!</v>
      </c>
      <c r="E51" s="19" t="s">
        <v>111</v>
      </c>
    </row>
  </sheetData>
  <mergeCells count="2">
    <mergeCell ref="A1:B1"/>
    <mergeCell ref="C39:D39"/>
  </mergeCells>
  <phoneticPr fontId="54" type="noConversion"/>
  <conditionalFormatting sqref="B3:B6">
    <cfRule type="expression" dxfId="5" priority="7">
      <formula>$I$12&lt;&gt;""</formula>
    </cfRule>
  </conditionalFormatting>
  <conditionalFormatting sqref="C3">
    <cfRule type="expression" dxfId="3" priority="1">
      <formula>$I$12&lt;&gt;""</formula>
    </cfRule>
  </conditionalFormatting>
  <conditionalFormatting sqref="C10:F36">
    <cfRule type="expression" dxfId="1" priority="5">
      <formula>$I$12&lt;&gt;""</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8" operator="equal" id="{D3F7A696-2DB9-47F0-BDE1-793F6F6ABD29}">
            <xm:f>Auswahlwerte!$B$7</xm:f>
            <x14:dxf>
              <font>
                <color rgb="FFC00000"/>
              </font>
            </x14:dxf>
          </x14:cfRule>
          <xm:sqref>B3:B6</xm:sqref>
        </x14:conditionalFormatting>
        <x14:conditionalFormatting xmlns:xm="http://schemas.microsoft.com/office/excel/2006/main">
          <x14:cfRule type="cellIs" priority="2" operator="equal" id="{1680A634-48CF-4919-BE5B-E11975DB2F5B}">
            <xm:f>Auswahlwerte!$B$7</xm:f>
            <x14:dxf>
              <font>
                <color rgb="FFC00000"/>
              </font>
            </x14:dxf>
          </x14:cfRule>
          <xm:sqref>C3</xm:sqref>
        </x14:conditionalFormatting>
        <x14:conditionalFormatting xmlns:xm="http://schemas.microsoft.com/office/excel/2006/main">
          <x14:cfRule type="cellIs" priority="6" operator="equal" id="{B665F48B-6624-4BD1-ADEB-9AB12F17C4EA}">
            <xm:f>Auswahlwerte!$B$7</xm:f>
            <x14:dxf>
              <font>
                <color rgb="FFC00000"/>
              </font>
            </x14:dxf>
          </x14:cfRule>
          <xm:sqref>C10:F36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34</vt:i4>
      </vt:variant>
    </vt:vector>
  </HeadingPairs>
  <TitlesOfParts>
    <vt:vector size="37" baseType="lpstr">
      <vt:lpstr>Berechnung</vt:lpstr>
      <vt:lpstr>Auswahlwerte</vt:lpstr>
      <vt:lpstr>Parameter</vt:lpstr>
      <vt:lpstr>Aktenzeichen</vt:lpstr>
      <vt:lpstr>AnzWeitereUHBerechtigte</vt:lpstr>
      <vt:lpstr>Arbeitstage_Jahr</vt:lpstr>
      <vt:lpstr>AuswahlBeitragsstufe</vt:lpstr>
      <vt:lpstr>AuswahlBetragsartEinkommenNST</vt:lpstr>
      <vt:lpstr>AuswahlEinkommensjahr</vt:lpstr>
      <vt:lpstr>Beitragsstufe</vt:lpstr>
      <vt:lpstr>Berechnungsbeginn</vt:lpstr>
      <vt:lpstr>Berechnungsdatum</vt:lpstr>
      <vt:lpstr>Berechnungsende</vt:lpstr>
      <vt:lpstr>BetragsartEinkommenNST</vt:lpstr>
      <vt:lpstr>biskm1</vt:lpstr>
      <vt:lpstr>biskm2</vt:lpstr>
      <vt:lpstr>Berechnung!Druckbereich</vt:lpstr>
      <vt:lpstr>EinkommenBis</vt:lpstr>
      <vt:lpstr>Einkommensmonate</vt:lpstr>
      <vt:lpstr>Einkommenszeitraum</vt:lpstr>
      <vt:lpstr>EinkommenVon</vt:lpstr>
      <vt:lpstr>Fahrtstrecke</vt:lpstr>
      <vt:lpstr>GeburtsdatumJM</vt:lpstr>
      <vt:lpstr>JungerMensch</vt:lpstr>
      <vt:lpstr>kmPauschale</vt:lpstr>
      <vt:lpstr>kmPauschale2</vt:lpstr>
      <vt:lpstr>kmPauschale2JahrBis</vt:lpstr>
      <vt:lpstr>kmPauschale2JahrVon</vt:lpstr>
      <vt:lpstr>kmPauschale3</vt:lpstr>
      <vt:lpstr>kmPauschale3JahrBis</vt:lpstr>
      <vt:lpstr>kmPauschale3JahrVon</vt:lpstr>
      <vt:lpstr>Kostenbeitragspflichtiger</vt:lpstr>
      <vt:lpstr>MaßgeblEinkGruppe</vt:lpstr>
      <vt:lpstr>MaßgeblEinkommen</vt:lpstr>
      <vt:lpstr>Standardanzahl_Arbeitstage</vt:lpstr>
      <vt:lpstr>VorlEinkGruppeBez</vt:lpstr>
      <vt:lpstr>VorlEinkommensgruppe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2019-09-10T13:51:01Z</cp:lastPrinted>
  <dcterms:created xsi:type="dcterms:W3CDTF">2019-04-12T15:09:00Z</dcterms:created>
  <dcterms:modified xsi:type="dcterms:W3CDTF">2023-10-02T11:24:37Z</dcterms:modified>
</cp:coreProperties>
</file>