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showInkAnnotation="0"/>
  <mc:AlternateContent xmlns:mc="http://schemas.openxmlformats.org/markup-compatibility/2006">
    <mc:Choice Requires="x15">
      <x15ac:absPath xmlns:x15ac="http://schemas.microsoft.com/office/spreadsheetml/2010/11/ac" url="C:\Users\uwewe\Downloads\"/>
    </mc:Choice>
  </mc:AlternateContent>
  <xr:revisionPtr revIDLastSave="0" documentId="8_{E9F1C604-C5C8-438E-80BD-0E22FBFEACF6}" xr6:coauthVersionLast="28" xr6:coauthVersionMax="28" xr10:uidLastSave="{00000000-0000-0000-0000-000000000000}"/>
  <bookViews>
    <workbookView xWindow="240" yWindow="120" windowWidth="18780" windowHeight="12660" tabRatio="834" xr2:uid="{00000000-000D-0000-FFFF-FFFF00000000}"/>
  </bookViews>
  <sheets>
    <sheet name="Hauptberechnung" sheetId="1" r:id="rId1"/>
    <sheet name="Einkommen selbst. Tätigkeit" sheetId="8" r:id="rId2"/>
    <sheet name="Schmälerungsverbot" sheetId="6" r:id="rId3"/>
    <sheet name="INFO - Kostenbeitragstabelle" sheetId="11" r:id="rId4"/>
    <sheet name="INFO - Düsseldorfer Tabelle" sheetId="12" r:id="rId5"/>
    <sheet name="Dropdownfelder" sheetId="2" state="hidden" r:id="rId6"/>
    <sheet name="KBParameter" sheetId="5" state="hidden" r:id="rId7"/>
    <sheet name="DTParameter" sheetId="7" state="hidden" r:id="rId8"/>
  </sheets>
  <externalReferences>
    <externalReference r:id="rId9"/>
    <externalReference r:id="rId10"/>
  </externalReferences>
  <definedNames>
    <definedName name="AnzahlUHBerechtigte">Hauptberechnung!$C$105</definedName>
    <definedName name="Arbeitstage">Hauptberechnung!$L$79</definedName>
    <definedName name="AuswKG1" localSheetId="2">[1]NR_Parameter!$E$9</definedName>
    <definedName name="AuswKG10" localSheetId="2">[1]NR_Parameter!$E$63</definedName>
    <definedName name="AuswKG2" localSheetId="2">[1]NR_Parameter!$E$15</definedName>
    <definedName name="AuswKG3" localSheetId="2">[1]NR_Parameter!$E$21</definedName>
    <definedName name="AuswKG4" localSheetId="2">[1]NR_Parameter!$E$27</definedName>
    <definedName name="AuswKG5" localSheetId="2">[1]NR_Parameter!$E$33</definedName>
    <definedName name="AuswKG6" localSheetId="2">[1]NR_Parameter!$E$39</definedName>
    <definedName name="AuswKG7" localSheetId="2">[1]NR_Parameter!$E$45</definedName>
    <definedName name="AuswKG8" localSheetId="2">[1]NR_Parameter!$E$51</definedName>
    <definedName name="AuswKG9" localSheetId="2">[1]NR_Parameter!$E$57</definedName>
    <definedName name="AV">'[2]UH-Nebenrechnung'!#REF!</definedName>
    <definedName name="BeitragsstufeKB">Hauptberechnung!$I$109</definedName>
    <definedName name="Bemerkungen">'[2]UH-Nebenrechnung'!#REF!</definedName>
    <definedName name="BerBedPauschbetrag">'[2]UH-Nebenrechnung'!#REF!</definedName>
    <definedName name="BerechtigteVorh" localSheetId="2">[1]NR_Parameter!#REF!</definedName>
    <definedName name="BerechtigteVorh">[1]NR_Parameter!#REF!</definedName>
    <definedName name="BetreutePersonMatrix">Dropdownfelder!$A$26:$C$30</definedName>
    <definedName name="BruttoEink">'[2]UH-Nebenrechnung'!#REF!</definedName>
    <definedName name="Dropdown_Antrag93_4">Dropdownfelder!$A$2</definedName>
    <definedName name="Dropdown_BetreutePerson">Dropdownfelder!$A$25</definedName>
    <definedName name="Dropdown_Schmälerung">Dropdownfelder!$A$33</definedName>
    <definedName name="Dropdown_Urlaubsgeld">Dropdownfelder!$A$17</definedName>
    <definedName name="Dropdown_Weihnachtsgeld">Dropdownfelder!$A$9</definedName>
    <definedName name="_xlnm.Print_Area" localSheetId="7">DTParameter!$A$1:$F$29</definedName>
    <definedName name="_xlnm.Print_Area" localSheetId="1">'Einkommen selbst. Tätigkeit'!$B$2:$H$77</definedName>
    <definedName name="_xlnm.Print_Area" localSheetId="0">Hauptberechnung!$B$4:$X$130</definedName>
    <definedName name="_xlnm.Print_Area" localSheetId="4">'INFO - Düsseldorfer Tabelle'!$B$2:$G$27</definedName>
    <definedName name="_xlnm.Print_Area" localSheetId="3">'INFO - Kostenbeitragstabelle'!$B$2:$G$39</definedName>
    <definedName name="_xlnm.Print_Area" localSheetId="2">Schmälerungsverbot!$B$2:$X$167</definedName>
    <definedName name="_xlnm.Print_Titles" localSheetId="1">'Einkommen selbst. Tätigkeit'!$2:$3</definedName>
    <definedName name="_xlnm.Print_Titles" localSheetId="0">Hauptberechnung!$2:$3</definedName>
    <definedName name="_xlnm.Print_Titles" localSheetId="2">Schmälerungsverbot!$2:$3</definedName>
    <definedName name="EKJahresGesamt">Hauptberechnung!$K$46</definedName>
    <definedName name="EKJahressumme">Hauptberechnung!$K$41</definedName>
    <definedName name="EKMonate">Hauptberechnung!$U$21</definedName>
    <definedName name="EKMonatssumme">Hauptberechnung!$U$41</definedName>
    <definedName name="EKZeitraumBis">Hauptberechnung!$O$21</definedName>
    <definedName name="EKZeitraumMatrix">Dropdownfelder!$A$3:$E$6</definedName>
    <definedName name="EKZeitraumVon">Hauptberechnung!$K$21</definedName>
    <definedName name="EndgültigeEKGruppe">Hauptberechnung!$O$107</definedName>
    <definedName name="EntfernungArbeit">Hauptberechnung!$I$79</definedName>
    <definedName name="ErmittlungUHEink">'[2]UH-Nebenrechnung'!#REF!</definedName>
    <definedName name="FestzusetzenderKB">Hauptberechnung!$U$125</definedName>
    <definedName name="GebDatJM">Hauptberechnung!$K$13</definedName>
    <definedName name="GebDatW1" localSheetId="2">Schmälerungsverbot!$E$89</definedName>
    <definedName name="GebDatW10" localSheetId="2">Schmälerungsverbot!$E$98</definedName>
    <definedName name="GebDatW2" localSheetId="2">Schmälerungsverbot!$E$90</definedName>
    <definedName name="GebDatW3" localSheetId="2">Schmälerungsverbot!$E$91</definedName>
    <definedName name="GebDatW4" localSheetId="2">Schmälerungsverbot!$E$92</definedName>
    <definedName name="GebDatW5" localSheetId="2">Schmälerungsverbot!$E$93</definedName>
    <definedName name="GebDatW6" localSheetId="2">Schmälerungsverbot!$E$94</definedName>
    <definedName name="GebDatW7" localSheetId="2">Schmälerungsverbot!$E$95</definedName>
    <definedName name="GebDatW8" localSheetId="2">Schmälerungsverbot!$E$96</definedName>
    <definedName name="GebDatW9" localSheetId="2">Schmälerungsverbot!$E$97</definedName>
    <definedName name="KBZeitraumBis">Hauptberechnung!#REF!</definedName>
    <definedName name="KBZeitraumVon">Hauptberechnung!$K$17</definedName>
    <definedName name="KGAuswahl1" localSheetId="2">[1]NR_Parameter!$A$9:$D$13</definedName>
    <definedName name="KGAuswahl10" localSheetId="2">[1]NR_Parameter!$A$63:$D$67</definedName>
    <definedName name="KGAuswahl2" localSheetId="2">[1]NR_Parameter!$A$15:$D$19</definedName>
    <definedName name="KGAuswahl3" localSheetId="2">[1]NR_Parameter!$A$21:$D$25</definedName>
    <definedName name="KGAuswahl4" localSheetId="2">[1]NR_Parameter!$A$27:$D$31</definedName>
    <definedName name="KGAuswahl5" localSheetId="2">[1]NR_Parameter!$A$33:$D$37</definedName>
    <definedName name="KGAuswahl6" localSheetId="2">[1]NR_Parameter!$A$39:$D$43</definedName>
    <definedName name="KGAuswahl7" localSheetId="2">[1]NR_Parameter!$A$45:$D$49</definedName>
    <definedName name="KGAuswahl8" localSheetId="2">[1]NR_Parameter!$A$51:$D$55</definedName>
    <definedName name="KGAuswahl9" localSheetId="2">[1]NR_Parameter!$A$57:$D$61</definedName>
    <definedName name="KGKind1">DTParameter!$D$43</definedName>
    <definedName name="KGKind2">DTParameter!$D$44</definedName>
    <definedName name="KGKind3">DTParameter!$D$45</definedName>
    <definedName name="KGKind4">DTParameter!$D$46</definedName>
    <definedName name="Kindergeld_JM">[2]Hauptberechnung!$P$16</definedName>
    <definedName name="Kirchensteuer">'[2]UH-Nebenrechnung'!#REF!</definedName>
    <definedName name="KM_Pauschale">KBParameter!$C$50</definedName>
    <definedName name="KV">'[2]UH-Nebenrechnung'!#REF!</definedName>
    <definedName name="Lohnsteuer">'[2]UH-Nebenrechnung'!#REF!</definedName>
    <definedName name="NachgewAufw1">'[2]UH-Nebenrechnung'!#REF!</definedName>
    <definedName name="NachgewAufw2">'[2]UH-Nebenrechnung'!#REF!</definedName>
    <definedName name="NachgewAufw3">'[2]UH-Nebenrechnung'!#REF!</definedName>
    <definedName name="NachgewAufwGesamt">'[2]UH-Nebenrechnung'!#REF!</definedName>
    <definedName name="NachgewAufwGesamtÜbertrag">'[2]UH-Nebenrechnung'!#REF!</definedName>
    <definedName name="NachgewAufwText1">'[2]UH-Nebenrechnung'!#REF!</definedName>
    <definedName name="NachgewAufwText2">'[2]UH-Nebenrechnung'!#REF!</definedName>
    <definedName name="NachgewAufwText3">'[2]UH-Nebenrechnung'!#REF!</definedName>
    <definedName name="NameJM">Hauptberechnung!$K$11</definedName>
    <definedName name="NamePflichtiger">Hauptberechnung!$K$15</definedName>
    <definedName name="Nettoeinkommen">'[2]UH-Nebenrechnung'!#REF!</definedName>
    <definedName name="NettoeinkommenÜbertrag">'[2]UH-Nebenrechnung'!#REF!</definedName>
    <definedName name="PV">'[2]UH-Nebenrechnung'!#REF!</definedName>
    <definedName name="RV">'[2]UH-Nebenrechnung'!#REF!</definedName>
    <definedName name="SchmälerungMatrix">Dropdownfelder!$A$34:$B$37</definedName>
    <definedName name="Soli">'[2]UH-Nebenrechnung'!#REF!</definedName>
    <definedName name="SonstAbzug1">'[2]UH-Nebenrechnung'!#REF!</definedName>
    <definedName name="SonstAbzug2">'[2]UH-Nebenrechnung'!#REF!</definedName>
    <definedName name="SonstAbzugText1">'[2]UH-Nebenrechnung'!#REF!</definedName>
    <definedName name="SonstAbzugText2">'[2]UH-Nebenrechnung'!#REF!</definedName>
    <definedName name="SonstBelast1">'[2]UH-Nebenrechnung'!#REF!</definedName>
    <definedName name="SonstBelast2">'[2]UH-Nebenrechnung'!#REF!</definedName>
    <definedName name="SonstBelast3">'[2]UH-Nebenrechnung'!#REF!</definedName>
    <definedName name="SonstBelastGesamt">'[2]UH-Nebenrechnung'!#REF!</definedName>
    <definedName name="SonstBelastGesamtÜbertrag">'[2]UH-Nebenrechnung'!#REF!</definedName>
    <definedName name="SonstBelastText1">'[2]UH-Nebenrechnung'!#REF!</definedName>
    <definedName name="SonstBelastText2">'[2]UH-Nebenrechnung'!#REF!</definedName>
    <definedName name="SonstBelastText3">'[2]UH-Nebenrechnung'!#REF!</definedName>
    <definedName name="SonstEink1">'[2]UH-Nebenrechnung'!#REF!</definedName>
    <definedName name="SonstEink2">'[2]UH-Nebenrechnung'!#REF!</definedName>
    <definedName name="SonstEink3">'[2]UH-Nebenrechnung'!#REF!</definedName>
    <definedName name="SonstEinkGesamt">'[2]UH-Nebenrechnung'!#REF!</definedName>
    <definedName name="SonstEinkGesamtÜbertrag">'[2]UH-Nebenrechnung'!#REF!</definedName>
    <definedName name="SonstEinkText1">'[2]UH-Nebenrechnung'!#REF!</definedName>
    <definedName name="SonstEinkText2">'[2]UH-Nebenrechnung'!#REF!</definedName>
    <definedName name="SonstEinkText3">'[2]UH-Nebenrechnung'!#REF!</definedName>
    <definedName name="SonstErwerbEink1">'[2]UH-Nebenrechnung'!#REF!</definedName>
    <definedName name="SonstErwerbEink2">'[2]UH-Nebenrechnung'!#REF!</definedName>
    <definedName name="SonstErwerbEinkText1">'[2]UH-Nebenrechnung'!#REF!</definedName>
    <definedName name="SonstErwerbEinkText2">'[2]UH-Nebenrechnung'!#REF!</definedName>
    <definedName name="UrlaubsgeldMatrix">Dropdownfelder!$A$18:$C$22</definedName>
    <definedName name="VorläufigeEKGruppe">Hauptberechnung!$K$103</definedName>
    <definedName name="VorläufigerKB">Hauptberechnung!$U$109</definedName>
    <definedName name="WeihnachtsgeldMatrix">Dropdownfelder!$A$10:$C$14</definedName>
    <definedName name="Wirtschaftsjahr">'[2]Einkommen Selbstständigkeit'!$D$4</definedName>
  </definedNames>
  <calcPr calcId="171027"/>
</workbook>
</file>

<file path=xl/calcChain.xml><?xml version="1.0" encoding="utf-8"?>
<calcChain xmlns="http://schemas.openxmlformats.org/spreadsheetml/2006/main">
  <c r="G1" i="12" l="1"/>
  <c r="J98" i="6" l="1"/>
  <c r="J97" i="6"/>
  <c r="J96" i="6"/>
  <c r="J95" i="6"/>
  <c r="J94" i="6"/>
  <c r="J93" i="6"/>
  <c r="J92" i="6"/>
  <c r="J91" i="6"/>
  <c r="J90" i="6"/>
  <c r="J89" i="6"/>
  <c r="I98" i="6"/>
  <c r="I97" i="6"/>
  <c r="I96" i="6"/>
  <c r="I95" i="6"/>
  <c r="I94" i="6"/>
  <c r="I93" i="6"/>
  <c r="I92" i="6"/>
  <c r="I91" i="6"/>
  <c r="I90" i="6"/>
  <c r="I89" i="6"/>
  <c r="C49" i="2"/>
  <c r="B49" i="2"/>
  <c r="C48" i="2"/>
  <c r="B48" i="2"/>
  <c r="C47" i="2"/>
  <c r="B47" i="2"/>
  <c r="C46" i="2"/>
  <c r="B46" i="2"/>
  <c r="C45" i="2"/>
  <c r="B45" i="2"/>
  <c r="C44" i="2"/>
  <c r="B44" i="2"/>
  <c r="C43" i="2"/>
  <c r="B43" i="2"/>
  <c r="C42" i="2"/>
  <c r="B42" i="2"/>
  <c r="J152" i="6"/>
  <c r="I152" i="6"/>
  <c r="J151" i="6"/>
  <c r="I151" i="6"/>
  <c r="J150" i="6"/>
  <c r="I150" i="6"/>
  <c r="J149" i="6"/>
  <c r="I149" i="6"/>
  <c r="B133" i="2"/>
  <c r="B132" i="2"/>
  <c r="B131" i="2"/>
  <c r="B130" i="2"/>
  <c r="B129" i="2"/>
  <c r="B128" i="2"/>
  <c r="B127" i="2"/>
  <c r="B126" i="2"/>
  <c r="B121" i="2"/>
  <c r="B120" i="2"/>
  <c r="B119" i="2"/>
  <c r="B118" i="2"/>
  <c r="B117" i="2"/>
  <c r="B116" i="2"/>
  <c r="B115" i="2"/>
  <c r="B114" i="2"/>
  <c r="B109" i="2"/>
  <c r="B108" i="2"/>
  <c r="B107" i="2"/>
  <c r="B106" i="2"/>
  <c r="B105" i="2"/>
  <c r="B104" i="2"/>
  <c r="B103" i="2"/>
  <c r="B102" i="2"/>
  <c r="C121" i="2"/>
  <c r="C120" i="2"/>
  <c r="C119" i="2"/>
  <c r="C118" i="2"/>
  <c r="C117" i="2"/>
  <c r="C116" i="2"/>
  <c r="C115" i="2"/>
  <c r="C114" i="2"/>
  <c r="C109" i="2"/>
  <c r="C108" i="2"/>
  <c r="C107" i="2"/>
  <c r="C106" i="2"/>
  <c r="C105" i="2"/>
  <c r="C104" i="2"/>
  <c r="C103" i="2"/>
  <c r="C102" i="2"/>
  <c r="C97" i="2"/>
  <c r="C96" i="2"/>
  <c r="C95" i="2"/>
  <c r="C94" i="2"/>
  <c r="C93" i="2"/>
  <c r="C92" i="2"/>
  <c r="C91" i="2"/>
  <c r="C90" i="2"/>
  <c r="B97" i="2"/>
  <c r="B96" i="2"/>
  <c r="B95" i="2"/>
  <c r="B94" i="2"/>
  <c r="B93" i="2"/>
  <c r="B92" i="2"/>
  <c r="B91" i="2"/>
  <c r="B90" i="2"/>
  <c r="C133" i="2"/>
  <c r="C132" i="2"/>
  <c r="C131" i="2"/>
  <c r="C130" i="2"/>
  <c r="C129" i="2"/>
  <c r="C128" i="2"/>
  <c r="C127" i="2"/>
  <c r="C126" i="2"/>
  <c r="C33" i="5" l="1"/>
  <c r="U102" i="6" l="1"/>
  <c r="B121" i="1" l="1"/>
  <c r="B120" i="1"/>
  <c r="U114" i="1" l="1"/>
  <c r="V105" i="1"/>
  <c r="N82" i="6" l="1"/>
  <c r="C24" i="7"/>
  <c r="B78" i="6" l="1"/>
  <c r="L109" i="1" l="1"/>
  <c r="B109" i="1"/>
  <c r="Z102" i="6" l="1"/>
  <c r="B2" i="12" l="1"/>
  <c r="B2" i="11"/>
  <c r="B2" i="6"/>
  <c r="B2" i="8"/>
  <c r="B2" i="1"/>
  <c r="E7" i="8"/>
  <c r="K20" i="1"/>
  <c r="E5" i="2"/>
  <c r="D5" i="2"/>
  <c r="E4" i="2"/>
  <c r="D4" i="2"/>
  <c r="C5" i="2"/>
  <c r="C4" i="2"/>
  <c r="O13" i="1"/>
  <c r="O17" i="1"/>
  <c r="B18" i="1" l="1"/>
  <c r="P132" i="6"/>
  <c r="P133" i="6"/>
  <c r="P134" i="6"/>
  <c r="P136" i="6" s="1"/>
  <c r="U138" i="6" s="1"/>
  <c r="P113" i="6"/>
  <c r="P114" i="6"/>
  <c r="P115" i="6"/>
  <c r="U9" i="6"/>
  <c r="P32" i="6" s="1"/>
  <c r="K27" i="6"/>
  <c r="K29" i="6" s="1"/>
  <c r="U27" i="6"/>
  <c r="K30" i="6" s="1"/>
  <c r="L43" i="6"/>
  <c r="L44" i="6"/>
  <c r="D24" i="7"/>
  <c r="E24" i="7" s="1"/>
  <c r="G89" i="6" s="1"/>
  <c r="C20" i="7"/>
  <c r="F21" i="7" s="1"/>
  <c r="C25" i="7"/>
  <c r="D25" i="7" s="1"/>
  <c r="E25" i="7" s="1"/>
  <c r="G90" i="6" s="1"/>
  <c r="P90" i="6" s="1"/>
  <c r="P91" i="6"/>
  <c r="P92" i="6"/>
  <c r="P93" i="6"/>
  <c r="P94" i="6"/>
  <c r="P95" i="6"/>
  <c r="P96" i="6"/>
  <c r="P97" i="6"/>
  <c r="P98" i="6"/>
  <c r="C50" i="7"/>
  <c r="D50" i="7" s="1"/>
  <c r="E50" i="7" s="1"/>
  <c r="G149" i="6"/>
  <c r="P149" i="6" s="1"/>
  <c r="C51" i="7"/>
  <c r="D51" i="7" s="1"/>
  <c r="E51" i="7" s="1"/>
  <c r="G150" i="6"/>
  <c r="P150" i="6" s="1"/>
  <c r="C52" i="7"/>
  <c r="D52" i="7" s="1"/>
  <c r="E52" i="7" s="1"/>
  <c r="G151" i="6"/>
  <c r="P151" i="6" s="1"/>
  <c r="C53" i="7"/>
  <c r="D53" i="7" s="1"/>
  <c r="E53" i="7" s="1"/>
  <c r="G152" i="6"/>
  <c r="P152" i="6" s="1"/>
  <c r="C45" i="5"/>
  <c r="U41" i="1"/>
  <c r="K44" i="1" s="1"/>
  <c r="U50" i="1"/>
  <c r="U51" i="1"/>
  <c r="M80" i="1"/>
  <c r="M89" i="1" s="1"/>
  <c r="G147" i="6"/>
  <c r="F134" i="6"/>
  <c r="F133" i="6"/>
  <c r="F132" i="6"/>
  <c r="B77" i="2"/>
  <c r="B83" i="2" s="1"/>
  <c r="B78" i="2"/>
  <c r="B84" i="2" s="1"/>
  <c r="B79" i="2"/>
  <c r="B85" i="2" s="1"/>
  <c r="B76" i="2"/>
  <c r="B82" i="2" s="1"/>
  <c r="D7" i="8"/>
  <c r="J1" i="8"/>
  <c r="G1" i="8"/>
  <c r="D105" i="1"/>
  <c r="B21" i="1"/>
  <c r="C6" i="2"/>
  <c r="K21" i="1"/>
  <c r="O21" i="1"/>
  <c r="C17" i="12"/>
  <c r="C18" i="12" s="1"/>
  <c r="B18" i="12"/>
  <c r="B9" i="12"/>
  <c r="C9" i="12"/>
  <c r="D9" i="12"/>
  <c r="E9" i="12"/>
  <c r="F9" i="12"/>
  <c r="G9" i="12"/>
  <c r="B10" i="12"/>
  <c r="C10" i="12"/>
  <c r="D10" i="12"/>
  <c r="E10" i="12"/>
  <c r="F10" i="12"/>
  <c r="G10" i="12"/>
  <c r="B11" i="12"/>
  <c r="C11" i="12"/>
  <c r="D11" i="12"/>
  <c r="E11" i="12"/>
  <c r="F11" i="12"/>
  <c r="G11" i="12"/>
  <c r="B12" i="12"/>
  <c r="C12" i="12"/>
  <c r="D12" i="12"/>
  <c r="E12" i="12"/>
  <c r="F12" i="12"/>
  <c r="G12" i="12"/>
  <c r="B13" i="12"/>
  <c r="C13" i="12"/>
  <c r="D13" i="12"/>
  <c r="E13" i="12"/>
  <c r="F13" i="12"/>
  <c r="G13" i="12"/>
  <c r="B14" i="12"/>
  <c r="C14" i="12"/>
  <c r="D14" i="12"/>
  <c r="E14" i="12"/>
  <c r="F14" i="12"/>
  <c r="G14" i="12"/>
  <c r="B15" i="12"/>
  <c r="C15" i="12"/>
  <c r="D15" i="12"/>
  <c r="E15" i="12"/>
  <c r="F15" i="12"/>
  <c r="G15" i="12"/>
  <c r="B16" i="12"/>
  <c r="C16" i="12"/>
  <c r="D16" i="12"/>
  <c r="E16" i="12"/>
  <c r="F16" i="12"/>
  <c r="G16" i="12"/>
  <c r="B17" i="12"/>
  <c r="D17" i="12"/>
  <c r="E17" i="12"/>
  <c r="F17" i="12"/>
  <c r="G17" i="12"/>
  <c r="G8" i="12"/>
  <c r="F8" i="12"/>
  <c r="E8" i="12"/>
  <c r="D8" i="12"/>
  <c r="C8" i="12"/>
  <c r="B8" i="12"/>
  <c r="B9" i="11"/>
  <c r="C9" i="11"/>
  <c r="D9" i="11"/>
  <c r="E9" i="11"/>
  <c r="F9" i="11"/>
  <c r="G9" i="11"/>
  <c r="B10" i="11"/>
  <c r="C10" i="11"/>
  <c r="D10" i="11"/>
  <c r="E10" i="11"/>
  <c r="F10" i="11"/>
  <c r="G10" i="11"/>
  <c r="B11" i="11"/>
  <c r="C11" i="11"/>
  <c r="D11" i="11"/>
  <c r="E11" i="11"/>
  <c r="F11" i="11"/>
  <c r="G11" i="11"/>
  <c r="B12" i="11"/>
  <c r="C12" i="11"/>
  <c r="D12" i="11"/>
  <c r="E12" i="11"/>
  <c r="F12" i="11"/>
  <c r="G12" i="11"/>
  <c r="B13" i="11"/>
  <c r="C13" i="11"/>
  <c r="D13" i="11"/>
  <c r="E13" i="11"/>
  <c r="F13" i="11"/>
  <c r="G13" i="11"/>
  <c r="B14" i="11"/>
  <c r="C14" i="11"/>
  <c r="D14" i="11"/>
  <c r="E14" i="11"/>
  <c r="F14" i="11"/>
  <c r="G14" i="11"/>
  <c r="B15" i="11"/>
  <c r="C15" i="11"/>
  <c r="D15" i="11"/>
  <c r="E15" i="11"/>
  <c r="F15" i="11"/>
  <c r="G15" i="11"/>
  <c r="B16" i="11"/>
  <c r="C16" i="11"/>
  <c r="D16" i="11"/>
  <c r="E16" i="11"/>
  <c r="F16" i="11"/>
  <c r="G16" i="11"/>
  <c r="B17" i="11"/>
  <c r="C17" i="11"/>
  <c r="D17" i="11"/>
  <c r="E17" i="11"/>
  <c r="F17" i="11"/>
  <c r="G17" i="11"/>
  <c r="B18" i="11"/>
  <c r="C18" i="11"/>
  <c r="D18" i="11"/>
  <c r="E18" i="11"/>
  <c r="F18" i="11"/>
  <c r="G18" i="11"/>
  <c r="B19" i="11"/>
  <c r="C19" i="11"/>
  <c r="D19" i="11"/>
  <c r="E19" i="11"/>
  <c r="F19" i="11"/>
  <c r="G19" i="11"/>
  <c r="B20" i="11"/>
  <c r="C20" i="11"/>
  <c r="D20" i="11"/>
  <c r="E20" i="11"/>
  <c r="F20" i="11"/>
  <c r="G20" i="11"/>
  <c r="B21" i="11"/>
  <c r="C21" i="11"/>
  <c r="D21" i="11"/>
  <c r="E21" i="11"/>
  <c r="F21" i="11"/>
  <c r="G21" i="11"/>
  <c r="B22" i="11"/>
  <c r="C22" i="11"/>
  <c r="D22" i="11"/>
  <c r="E22" i="11"/>
  <c r="F22" i="11"/>
  <c r="G22" i="11"/>
  <c r="B23" i="11"/>
  <c r="C23" i="11"/>
  <c r="D23" i="11"/>
  <c r="E23" i="11"/>
  <c r="F23" i="11"/>
  <c r="G23" i="11"/>
  <c r="B24" i="11"/>
  <c r="C24" i="11"/>
  <c r="D24" i="11"/>
  <c r="E24" i="11"/>
  <c r="F24" i="11"/>
  <c r="G24" i="11"/>
  <c r="B25" i="11"/>
  <c r="C25" i="11"/>
  <c r="D25" i="11"/>
  <c r="E25" i="11"/>
  <c r="F25" i="11"/>
  <c r="G25" i="11"/>
  <c r="B26" i="11"/>
  <c r="C26" i="11"/>
  <c r="D26" i="11"/>
  <c r="E26" i="11"/>
  <c r="F26" i="11"/>
  <c r="G26" i="11"/>
  <c r="B27" i="11"/>
  <c r="C27" i="11"/>
  <c r="D27" i="11"/>
  <c r="E27" i="11"/>
  <c r="F27" i="11"/>
  <c r="G27" i="11"/>
  <c r="B28" i="11"/>
  <c r="C28" i="11"/>
  <c r="D28" i="11"/>
  <c r="E28" i="11"/>
  <c r="F28" i="11"/>
  <c r="G28" i="11"/>
  <c r="B29" i="11"/>
  <c r="C29" i="11"/>
  <c r="D29" i="11"/>
  <c r="E29" i="11"/>
  <c r="F29" i="11"/>
  <c r="G29" i="11"/>
  <c r="B30" i="11"/>
  <c r="C30" i="11"/>
  <c r="D30" i="11"/>
  <c r="E30" i="11"/>
  <c r="F30" i="11"/>
  <c r="G30" i="11"/>
  <c r="B31" i="11"/>
  <c r="C31" i="11"/>
  <c r="D31" i="11"/>
  <c r="E31" i="11"/>
  <c r="F31" i="11"/>
  <c r="G31" i="11"/>
  <c r="B32" i="11"/>
  <c r="C32" i="11"/>
  <c r="D32" i="11"/>
  <c r="E32" i="11"/>
  <c r="F32" i="11"/>
  <c r="G32" i="11"/>
  <c r="B33" i="11"/>
  <c r="C33" i="11"/>
  <c r="D33" i="11"/>
  <c r="E33" i="11"/>
  <c r="F33" i="11"/>
  <c r="G33" i="11"/>
  <c r="B34" i="11"/>
  <c r="C34" i="11"/>
  <c r="D34" i="11"/>
  <c r="E34" i="11"/>
  <c r="F34" i="11"/>
  <c r="G34" i="11"/>
  <c r="B8" i="11"/>
  <c r="K41" i="1"/>
  <c r="K43" i="1" s="1"/>
  <c r="G8" i="11"/>
  <c r="F8" i="11"/>
  <c r="E8" i="11"/>
  <c r="D8" i="11"/>
  <c r="C8" i="11"/>
  <c r="G1" i="11"/>
  <c r="B27" i="8"/>
  <c r="B20" i="8"/>
  <c r="B11" i="8"/>
  <c r="D72" i="8"/>
  <c r="D74" i="8" s="1"/>
  <c r="G76" i="8" s="1"/>
  <c r="U58" i="6" s="1"/>
  <c r="L21" i="8"/>
  <c r="L12" i="8"/>
  <c r="B9" i="8"/>
  <c r="E8" i="8"/>
  <c r="B36" i="8"/>
  <c r="G36" i="8"/>
  <c r="B46" i="8" s="1"/>
  <c r="B38" i="8"/>
  <c r="D44" i="8"/>
  <c r="B62" i="8"/>
  <c r="G69" i="8"/>
  <c r="D71" i="8" s="1"/>
  <c r="C26" i="7"/>
  <c r="D26" i="7" s="1"/>
  <c r="E26" i="7" s="1"/>
  <c r="G91" i="6"/>
  <c r="C27" i="7"/>
  <c r="D27" i="7" s="1"/>
  <c r="E27" i="7" s="1"/>
  <c r="G92" i="6"/>
  <c r="C28" i="7"/>
  <c r="D28" i="7" s="1"/>
  <c r="E28" i="7" s="1"/>
  <c r="G93" i="6"/>
  <c r="C29" i="7"/>
  <c r="D29" i="7" s="1"/>
  <c r="E29" i="7" s="1"/>
  <c r="G94" i="6"/>
  <c r="C30" i="7"/>
  <c r="D30" i="7" s="1"/>
  <c r="E30" i="7" s="1"/>
  <c r="G95" i="6"/>
  <c r="C31" i="7"/>
  <c r="D31" i="7" s="1"/>
  <c r="E31" i="7" s="1"/>
  <c r="G96" i="6"/>
  <c r="C32" i="7"/>
  <c r="D32" i="7" s="1"/>
  <c r="E32" i="7" s="1"/>
  <c r="G97" i="6"/>
  <c r="C33" i="7"/>
  <c r="D33" i="7" s="1"/>
  <c r="E33" i="7" s="1"/>
  <c r="G98" i="6"/>
  <c r="J77" i="6"/>
  <c r="Z41" i="6"/>
  <c r="G87" i="6"/>
  <c r="V9" i="6"/>
  <c r="Q32" i="6" s="1"/>
  <c r="J9" i="6"/>
  <c r="J42" i="6"/>
  <c r="V1" i="6"/>
  <c r="R1" i="6"/>
  <c r="B37" i="6"/>
  <c r="C19" i="7"/>
  <c r="R101" i="1"/>
  <c r="B113" i="1"/>
  <c r="G101" i="1"/>
  <c r="C29" i="2"/>
  <c r="K51" i="1"/>
  <c r="K50" i="1"/>
  <c r="K19" i="1"/>
  <c r="D46" i="8" l="1"/>
  <c r="B47" i="8" s="1"/>
  <c r="P117" i="6"/>
  <c r="U119" i="6" s="1"/>
  <c r="U136" i="6"/>
  <c r="C21" i="7"/>
  <c r="K32" i="6"/>
  <c r="U32" i="6" s="1"/>
  <c r="L48" i="6"/>
  <c r="P48" i="6" s="1"/>
  <c r="I42" i="6"/>
  <c r="B43" i="6" s="1"/>
  <c r="K46" i="1"/>
  <c r="U21" i="1"/>
  <c r="P154" i="6"/>
  <c r="L119" i="6"/>
  <c r="U117" i="6"/>
  <c r="E21" i="7"/>
  <c r="D47" i="8"/>
  <c r="G47" i="8" s="1"/>
  <c r="G49" i="8" s="1"/>
  <c r="D51" i="8" s="1"/>
  <c r="D54" i="8" s="1"/>
  <c r="G56" i="8" s="1"/>
  <c r="U95" i="1" s="1"/>
  <c r="D21" i="7"/>
  <c r="L138" i="6" l="1"/>
  <c r="L156" i="6"/>
  <c r="U154" i="6"/>
  <c r="U156" i="6"/>
  <c r="B44" i="6"/>
  <c r="H37" i="6"/>
  <c r="P37" i="6" s="1"/>
  <c r="U50" i="6" s="1"/>
  <c r="U60" i="6" s="1"/>
  <c r="U62" i="6" s="1"/>
  <c r="U73" i="6" s="1"/>
  <c r="U46" i="1"/>
  <c r="C13" i="2" s="1"/>
  <c r="Q46" i="1"/>
  <c r="B80" i="1"/>
  <c r="V21" i="1"/>
  <c r="P46" i="1"/>
  <c r="M79" i="1"/>
  <c r="U163" i="6" l="1"/>
  <c r="U166" i="6"/>
  <c r="P89" i="6"/>
  <c r="P100" i="6" s="1"/>
  <c r="U100" i="6" s="1"/>
  <c r="U104" i="6" s="1"/>
  <c r="U121" i="6" s="1"/>
  <c r="C17" i="7"/>
  <c r="B50" i="6"/>
  <c r="B21" i="2"/>
  <c r="C21" i="2"/>
  <c r="B13" i="2"/>
  <c r="U58" i="1"/>
  <c r="U69" i="1" s="1"/>
  <c r="U60" i="1" l="1"/>
  <c r="M75" i="1"/>
  <c r="H75" i="1"/>
  <c r="U140" i="6"/>
  <c r="U158" i="6" s="1"/>
  <c r="U164" i="6" s="1"/>
  <c r="U124" i="6"/>
  <c r="I2" i="7"/>
  <c r="I5" i="7"/>
  <c r="I11" i="7"/>
  <c r="I8" i="7"/>
  <c r="I7" i="7"/>
  <c r="I6" i="7"/>
  <c r="I9" i="7"/>
  <c r="I10" i="7"/>
  <c r="I12" i="7"/>
  <c r="I4" i="7"/>
  <c r="I3" i="7"/>
  <c r="C18" i="7" l="1"/>
  <c r="B91" i="1"/>
  <c r="U91" i="1"/>
  <c r="U97" i="1" l="1"/>
  <c r="C31" i="5" s="1"/>
  <c r="N79" i="6"/>
  <c r="D18" i="7"/>
  <c r="O79" i="6" s="1"/>
  <c r="H18" i="5" l="1"/>
  <c r="H12" i="5"/>
  <c r="H15" i="5"/>
  <c r="H14" i="5"/>
  <c r="H25" i="5"/>
  <c r="D29" i="5"/>
  <c r="H9" i="5"/>
  <c r="H17" i="5"/>
  <c r="H7" i="5"/>
  <c r="H23" i="5"/>
  <c r="H4" i="5"/>
  <c r="H6" i="5"/>
  <c r="H28" i="5"/>
  <c r="H20" i="5"/>
  <c r="H24" i="5"/>
  <c r="H3" i="5"/>
  <c r="H16" i="5"/>
  <c r="H8" i="5"/>
  <c r="H21" i="5"/>
  <c r="H29" i="5"/>
  <c r="H5" i="5"/>
  <c r="H13" i="5"/>
  <c r="H2" i="5"/>
  <c r="H11" i="5"/>
  <c r="C29" i="5"/>
  <c r="H27" i="5"/>
  <c r="F29" i="5"/>
  <c r="H19" i="5"/>
  <c r="H10" i="5"/>
  <c r="H22" i="5"/>
  <c r="E29" i="5"/>
  <c r="H26" i="5"/>
  <c r="C32" i="5" l="1"/>
  <c r="K103" i="1" s="1"/>
  <c r="F32" i="5"/>
  <c r="C34" i="5" l="1"/>
  <c r="C35" i="5" s="1"/>
  <c r="C36" i="5" s="1"/>
  <c r="C37" i="5" s="1"/>
  <c r="C38" i="5" s="1"/>
  <c r="C39" i="5" s="1"/>
  <c r="C40" i="5" s="1"/>
  <c r="C41" i="5" s="1"/>
  <c r="C42" i="5" s="1"/>
  <c r="D44" i="5"/>
  <c r="D32" i="5"/>
  <c r="Q103" i="1" s="1"/>
  <c r="B114" i="1"/>
  <c r="C44" i="5" l="1"/>
  <c r="O107" i="1" s="1"/>
  <c r="P107" i="1" l="1"/>
  <c r="C47" i="5"/>
  <c r="U109" i="1" s="1"/>
  <c r="E47" i="5"/>
  <c r="F47" i="5"/>
  <c r="D47" i="5"/>
  <c r="B107" i="1"/>
  <c r="U116" i="1" l="1"/>
  <c r="U121" i="1" s="1"/>
  <c r="U123" i="1" s="1"/>
  <c r="U125" i="1" s="1"/>
</calcChain>
</file>

<file path=xl/sharedStrings.xml><?xml version="1.0" encoding="utf-8"?>
<sst xmlns="http://schemas.openxmlformats.org/spreadsheetml/2006/main" count="742" uniqueCount="421">
  <si>
    <t>Selbstbehalt gg. Berechtigten 2. Rang</t>
  </si>
  <si>
    <t>Unterhalt weiterer Berechtiger 4. Rang 1</t>
  </si>
  <si>
    <t>Unterhalt weiterer Berechtiger 4. Rang 2</t>
  </si>
  <si>
    <t>Unterhalt weiterer Berechtiger 4. Rang 3</t>
  </si>
  <si>
    <t>Unterhalt weiterer Berechtiger 4. Rang 4</t>
  </si>
  <si>
    <t>Unterhaltsbedarf vorrangig Berechtigter des 3. Ranges</t>
  </si>
  <si>
    <t>(Im Haushalt oder getrennt lebende sowie geschiedene Ehegatten)</t>
  </si>
  <si>
    <t>im HH lebende/r Ehe-/Lebenspartner/in</t>
  </si>
  <si>
    <t>getrennt lebende/r Ehepartner/in</t>
  </si>
  <si>
    <t>geschiedene/r Ehepartner/in</t>
  </si>
  <si>
    <t>Eigenschaft von Berechtigten 3. Ranges (1)</t>
  </si>
  <si>
    <t>Eigenschaft von Berechtigten 3. Ranges (2)</t>
  </si>
  <si>
    <t>Eigenschaft von Berechtigten 3. Ranges (3)</t>
  </si>
  <si>
    <t>Unterhaltsbedarf gleichrangig Berechtigter des 4. Ranges</t>
  </si>
  <si>
    <t>Kindergeldbezug weiterer Berechtigter des 4. Ranges (1)</t>
  </si>
  <si>
    <t>Kindergeldbezug weiterer Berechtigter des 4. Ranges (2)</t>
  </si>
  <si>
    <t>Kindergeldbezug weiterer Berechtigter des 4. Ranges (3)</t>
  </si>
  <si>
    <t>Kindergeldbezug weiterer Berechtigter des 4. Ranges (4)</t>
  </si>
  <si>
    <t>w.Kind</t>
  </si>
  <si>
    <t>1.Kind</t>
  </si>
  <si>
    <t>2.Kind</t>
  </si>
  <si>
    <t>3.Kind</t>
  </si>
  <si>
    <t>(weitere volljährige, nicht privilegierte Kinder, soweit nicht durch stationäre Unterbringung versorgt)</t>
  </si>
  <si>
    <t>Zusätzlicher Selbstbehalt ggü. Berechtigten 2. Ranges</t>
  </si>
  <si>
    <t>Gesamtbedarf der Berechtigten 4. Ranges</t>
  </si>
  <si>
    <t>Gesamtbedarf der Berechtigten 3. Ranges</t>
  </si>
  <si>
    <t>Zusätzlicher Selbstbehalt ggü. Berechtigten 3. Ranges</t>
  </si>
  <si>
    <t>Zusätzlicher Selbstbehalt ggü. Berechtigten 4. Ranges</t>
  </si>
  <si>
    <t xml:space="preserve">Vorläufiger Kostenbeitrag (s. Hauptberechnung) </t>
  </si>
  <si>
    <t>Verbleibendes Einkommen nach Sicherstellung des Unterhalts o.g. Berechtigter</t>
  </si>
  <si>
    <t>Um den vorstehend berechneten Unterhalt sicherzustellen, ist der Kostenbeitrag zu reduzieren um</t>
  </si>
  <si>
    <r>
      <t xml:space="preserve">Achtung: Unterhaltsbedarf für vorrangig Berechtigte des 1. Ranges darf nur eingetragen werden, wenn es solche Berechtigte mit Unterhaltsanspruch gibt. Vorrangig Berechtigte, die durch stationäre Unterbringung versorgt werden, sind hier </t>
    </r>
    <r>
      <rPr>
        <b/>
        <u/>
        <sz val="8"/>
        <color indexed="13"/>
        <rFont val="Arial"/>
        <family val="2"/>
      </rPr>
      <t>nicht</t>
    </r>
    <r>
      <rPr>
        <sz val="8"/>
        <color indexed="13"/>
        <rFont val="Arial"/>
        <family val="2"/>
      </rPr>
      <t xml:space="preserve"> einzutragen!</t>
    </r>
  </si>
  <si>
    <t>Sofern bereits ein Selbstbehalt gegenüber Berechtigten des 1. Ranges wirkt, wird hier nur noch aufgestockt auf den insgesamt maximal möglichen Selbstbehalt nach den Leitlinien OLG FFM.</t>
  </si>
  <si>
    <t>Sofern bereits ein Selbstbehalt gegenüber Berechtigten des 1. und/oder 2. Ranges wirkt, wird hier nur noch aufgestockt auf den insgesamt maximal möglichen Selbstbehalt nach den Leitlinien OLG FFM.</t>
  </si>
  <si>
    <t>Sofern bereits ein Selbstbehalt gegenüber Berechtigten des 1., 2. und/oder 3. Ranges wirkt, wird hier nur noch aufgestockt auf den insgesamt maximal möglichen Selbstbehalt nach den Leitlinien OLG FFM.</t>
  </si>
  <si>
    <r>
      <t xml:space="preserve">Tragen Sie die </t>
    </r>
    <r>
      <rPr>
        <b/>
        <u/>
        <sz val="8"/>
        <color indexed="9"/>
        <rFont val="Arial"/>
        <family val="2"/>
      </rPr>
      <t>Namen der Berechtigten und den maßgeblichen Unterhalt</t>
    </r>
    <r>
      <rPr>
        <sz val="8"/>
        <color indexed="9"/>
        <rFont val="Arial"/>
        <family val="2"/>
      </rPr>
      <t xml:space="preserve"> laut Titel ein, wenn Betreuungsunterhalt gezahlt wird. Eigene Einkünfte der Berechtigten sind abzusetzen.</t>
    </r>
  </si>
  <si>
    <r>
      <t xml:space="preserve">Tragen Sie die </t>
    </r>
    <r>
      <rPr>
        <b/>
        <u/>
        <sz val="8"/>
        <color indexed="9"/>
        <rFont val="Arial"/>
        <family val="2"/>
      </rPr>
      <t>Namen und den maßgeblichen Unterhalt</t>
    </r>
    <r>
      <rPr>
        <sz val="8"/>
        <color indexed="9"/>
        <rFont val="Arial"/>
        <family val="2"/>
      </rPr>
      <t xml:space="preserve"> laut Ziff. 22 ff  Leitlinien OLG FFM ein. Wählen Sie die </t>
    </r>
    <r>
      <rPr>
        <b/>
        <u/>
        <sz val="8"/>
        <color indexed="9"/>
        <rFont val="Arial"/>
        <family val="2"/>
      </rPr>
      <t>Eigenschaft des Berechtigten aus</t>
    </r>
    <r>
      <rPr>
        <sz val="8"/>
        <color indexed="9"/>
        <rFont val="Arial"/>
        <family val="2"/>
      </rPr>
      <t>, damit dessen Unterhaltsbedarf insgesamt auch berücksichtigt wird. Vergessen Sie nicht, etwaige eigene Einkünfte der Berechtigten einzutragen. Diese sind vom Unterhaltsanspruch abzusetzen.</t>
    </r>
  </si>
  <si>
    <r>
      <t xml:space="preserve">Achtung: Unterhaltsbedarf für gleichrangig Berechtigte des 4. Ranges darf nur eingetragen werden, wenn es solche Berechtigte mit Unterhaltsanspruch gibt. Gleichrangig Berechtigte, die durch stationäre Unterbringung versorgt werden, sind hier </t>
    </r>
    <r>
      <rPr>
        <b/>
        <u/>
        <sz val="8"/>
        <color indexed="13"/>
        <rFont val="Arial"/>
        <family val="2"/>
      </rPr>
      <t>nicht</t>
    </r>
    <r>
      <rPr>
        <sz val="8"/>
        <color indexed="13"/>
        <rFont val="Arial"/>
        <family val="2"/>
      </rPr>
      <t xml:space="preserve"> einzutragen!</t>
    </r>
  </si>
  <si>
    <r>
      <t xml:space="preserve">Sie müssen die Namen und </t>
    </r>
    <r>
      <rPr>
        <b/>
        <u/>
        <sz val="8"/>
        <color indexed="9"/>
        <rFont val="Arial"/>
        <family val="2"/>
      </rPr>
      <t>unbedingt das Geburtsdatum</t>
    </r>
    <r>
      <rPr>
        <sz val="8"/>
        <color indexed="9"/>
        <rFont val="Arial"/>
        <family val="2"/>
      </rPr>
      <t xml:space="preserve"> der (nicht privilegierten) volljährigen Geschwister des jungen Menschen eintragen, damit die korrekte Altersstufe und der Unterhalt nach Düsseldorfer Tabelle ermittelt wird.</t>
    </r>
  </si>
  <si>
    <t>Sofern Sie Unterhalt lt. Titel oder Kostenbeiträge (KB) oder einen Anspruch nach OLG-Leitlinien eingeben, übersteuert dieser den ermittelten Tabellenunterhalt und Kindergeldabzug. Hier ist auch der bereits berechnete Kostenbeitrag für untergebrachte nicht privilegierte volljährige Geschwisterkinder einzutragen. Eigene Einkünfte der Berechtigten sind abzusetzen.</t>
  </si>
  <si>
    <t>Tit. Unterhalt,</t>
  </si>
  <si>
    <t>Kosten-</t>
  </si>
  <si>
    <t>beitrag, etc.</t>
  </si>
  <si>
    <t>Um den hier ermittelten Reduzierungsbetrag wird der Kostenbeitrag in der Hauptberechnung vermindert.</t>
  </si>
  <si>
    <r>
      <t xml:space="preserve">Um korrekt zu rechnen, muss </t>
    </r>
    <r>
      <rPr>
        <b/>
        <u/>
        <sz val="8"/>
        <color indexed="9"/>
        <rFont val="Arial"/>
        <family val="2"/>
      </rPr>
      <t>unbedingt</t>
    </r>
    <r>
      <rPr>
        <sz val="8"/>
        <color indexed="9"/>
        <rFont val="Arial"/>
        <family val="2"/>
      </rPr>
      <t xml:space="preserve"> das Geburtsdatum des untergebrachten </t>
    </r>
    <r>
      <rPr>
        <b/>
        <u/>
        <sz val="8"/>
        <color indexed="9"/>
        <rFont val="Arial"/>
        <family val="2"/>
      </rPr>
      <t>volljährigen</t>
    </r>
    <r>
      <rPr>
        <sz val="8"/>
        <color indexed="9"/>
        <rFont val="Arial"/>
        <family val="2"/>
      </rPr>
      <t xml:space="preserve"> jungen Menschen eingetragen werden.</t>
    </r>
  </si>
  <si>
    <t>Hier beginnt Seite 3 des Ausdrucks.</t>
  </si>
  <si>
    <r>
      <t xml:space="preserve">Beitragsstufe 1 
</t>
    </r>
    <r>
      <rPr>
        <sz val="10"/>
        <rFont val="Arial"/>
        <family val="2"/>
      </rPr>
      <t>vollstationär untergebrachte 1. Person</t>
    </r>
  </si>
  <si>
    <r>
      <t xml:space="preserve">Beitragsstufe 2 
</t>
    </r>
    <r>
      <rPr>
        <sz val="10"/>
        <rFont val="Arial"/>
        <family val="2"/>
      </rPr>
      <t>vollstationär untergebrachte 2. Person</t>
    </r>
  </si>
  <si>
    <r>
      <t xml:space="preserve">Beitragsstufe 3 
</t>
    </r>
    <r>
      <rPr>
        <sz val="10"/>
        <rFont val="Arial"/>
        <family val="2"/>
      </rPr>
      <t>vollstationär untergebrachte 3. Person</t>
    </r>
  </si>
  <si>
    <r>
      <t xml:space="preserve">Beitragsstufe 4 
</t>
    </r>
    <r>
      <rPr>
        <sz val="10"/>
        <rFont val="Arial"/>
        <family val="2"/>
      </rPr>
      <t>teilstationär untergebrachte Personen</t>
    </r>
  </si>
  <si>
    <t>Maßgebl. Einkommen nach § 93 SGB VIII
bis…</t>
  </si>
  <si>
    <t>ab 10.001,00 €</t>
  </si>
  <si>
    <t>Hinweis aus der Kostenbeitragsverordnung</t>
  </si>
  <si>
    <t>Diese Seite können Sie - optional - zur Information des Pflichtigen
zusätzlich zur Berechnung ausdrucken.</t>
  </si>
  <si>
    <t>Düsseldorfer Tabelle</t>
  </si>
  <si>
    <t>Unterhaltsrechtlich maßgebliches Einkommen
bis…</t>
  </si>
  <si>
    <r>
      <t xml:space="preserve">Altersstufe 1 
</t>
    </r>
    <r>
      <rPr>
        <sz val="10"/>
        <rFont val="Arial"/>
        <family val="2"/>
      </rPr>
      <t>0-5 Jahre</t>
    </r>
  </si>
  <si>
    <r>
      <t xml:space="preserve">Altersstufe 2 
</t>
    </r>
    <r>
      <rPr>
        <sz val="10"/>
        <rFont val="Arial"/>
        <family val="2"/>
      </rPr>
      <t>6-11 Jahre</t>
    </r>
  </si>
  <si>
    <r>
      <t xml:space="preserve">Altersstufe 4
</t>
    </r>
    <r>
      <rPr>
        <sz val="10"/>
        <rFont val="Arial"/>
        <family val="2"/>
      </rPr>
      <t>ab 18 Jahre</t>
    </r>
  </si>
  <si>
    <r>
      <t xml:space="preserve">Altersstufe 3 
</t>
    </r>
    <r>
      <rPr>
        <sz val="10"/>
        <rFont val="Arial"/>
        <family val="2"/>
      </rPr>
      <t>12-17 Jahre</t>
    </r>
  </si>
  <si>
    <r>
      <t xml:space="preserve">Anzahl </t>
    </r>
    <r>
      <rPr>
        <u/>
        <sz val="10"/>
        <rFont val="Arial"/>
        <family val="2"/>
      </rPr>
      <t>aller</t>
    </r>
    <r>
      <rPr>
        <sz val="10"/>
        <rFont val="Arial"/>
        <family val="2"/>
      </rPr>
      <t xml:space="preserve"> Unterhaltsberechtigter</t>
    </r>
  </si>
  <si>
    <t>Einkommen aus nichtselbstständiger Erwerbstätigkeit</t>
  </si>
  <si>
    <t>Unterhaltsrechtlich maßgebliches Einkommen</t>
  </si>
  <si>
    <t>Unterhaltsrechtlich maßgebliches Einkommen - bis…</t>
  </si>
  <si>
    <t>Altersstufe 1</t>
  </si>
  <si>
    <t>Altersstufe 2</t>
  </si>
  <si>
    <t>Altersstufe 3</t>
  </si>
  <si>
    <t>Altersstufe 4</t>
  </si>
  <si>
    <t>manuell</t>
  </si>
  <si>
    <t>Anzahl UH-Berechtigte</t>
  </si>
  <si>
    <t>Vorläufiger Unterhalt</t>
  </si>
  <si>
    <t>Alter in Tagen</t>
  </si>
  <si>
    <t>Altersstufe</t>
  </si>
  <si>
    <t>TabUnterhalt</t>
  </si>
  <si>
    <t>Unterhalt weiteres Kind 1</t>
  </si>
  <si>
    <t>Unterhalt weiteres Kind 2</t>
  </si>
  <si>
    <t>Unterhalt weiteres Kind 3</t>
  </si>
  <si>
    <t>Unterhalt weiteres Kind 4</t>
  </si>
  <si>
    <t>Unterhalt weiteres Kind 5</t>
  </si>
  <si>
    <t>Unterhalt weiteres Kind 6</t>
  </si>
  <si>
    <t>Unterhalt weiteres Kind 7</t>
  </si>
  <si>
    <t>Unterhalt weiteres Kind 8</t>
  </si>
  <si>
    <t>Unterhalt weiteres Kind 9</t>
  </si>
  <si>
    <t>Unterhalt weiteres Kind 10</t>
  </si>
  <si>
    <t>Maximalbetrag berufsbed. Aufwendungen</t>
  </si>
  <si>
    <t>Erstkindergeld</t>
  </si>
  <si>
    <t>man. Eingabe!</t>
  </si>
  <si>
    <t>Kindergeld 2. Kind</t>
  </si>
  <si>
    <t>Kindergeld 3. Kind</t>
  </si>
  <si>
    <t>Kindergeld 4. Kind / weitere Kinder</t>
  </si>
  <si>
    <t>Ausgabe</t>
  </si>
  <si>
    <t>Festzusetzender mtl. Kostenbeitrag aus Einkommen (gerundet)</t>
  </si>
  <si>
    <t>Kindergeldgewährung</t>
  </si>
  <si>
    <t>JM</t>
  </si>
  <si>
    <t>W2</t>
  </si>
  <si>
    <t>W3</t>
  </si>
  <si>
    <t>W4</t>
  </si>
  <si>
    <t>W5</t>
  </si>
  <si>
    <t>W6</t>
  </si>
  <si>
    <t>W7</t>
  </si>
  <si>
    <t>W8</t>
  </si>
  <si>
    <t>W9</t>
  </si>
  <si>
    <t>W10</t>
  </si>
  <si>
    <t>Unterhalt</t>
  </si>
  <si>
    <t>Kostenbeitragsrelevantes Monatseinkommen</t>
  </si>
  <si>
    <t>Sonstige monatliche Einkünfte</t>
  </si>
  <si>
    <t>mtl.</t>
  </si>
  <si>
    <t>Betreute Person</t>
  </si>
  <si>
    <t>eine teilstationär betreute Person</t>
  </si>
  <si>
    <t>die 1. vollstationär betreute Person</t>
  </si>
  <si>
    <t>die 2. vollstationär betreute Person</t>
  </si>
  <si>
    <t>die 3. vollstationär betreute Person</t>
  </si>
  <si>
    <t xml:space="preserve">Für </t>
  </si>
  <si>
    <t>der Kostenbeitragstabelle</t>
  </si>
  <si>
    <t xml:space="preserve">Zunächst maßgeblich ist die Einkommensgruppe </t>
  </si>
  <si>
    <t>Beitragsstufe 4 teilstationär</t>
  </si>
  <si>
    <t>Schmälerung</t>
  </si>
  <si>
    <t>(ggf. abzüglich vom Jugendamt bereits direkt vereinnahmter Leistungen, siehe Bescheid)</t>
  </si>
  <si>
    <t>Kostenbeitragsberechnung</t>
  </si>
  <si>
    <t>bis</t>
  </si>
  <si>
    <t>Auswahltexte</t>
  </si>
  <si>
    <t>Bitte wählen…</t>
  </si>
  <si>
    <t>Antrag nach § 93 Abs. 4 SGB VIII</t>
  </si>
  <si>
    <t>Ausgabewert 3</t>
  </si>
  <si>
    <t>Ausgabewert 2</t>
  </si>
  <si>
    <t>Ausgabewert 1</t>
  </si>
  <si>
    <t>Eingabe !</t>
  </si>
  <si>
    <t>Berechnungsgrundlagen</t>
  </si>
  <si>
    <t>Name des untergebrachten jungen Menschen</t>
  </si>
  <si>
    <t>Geburtsdatum</t>
  </si>
  <si>
    <t>Name des Kostenbeitragspflichtigen</t>
  </si>
  <si>
    <t>Berechnungsvorlagen für die Jugendhilfe - Ein Service von</t>
  </si>
  <si>
    <t>www.kostenbeitrag.de</t>
  </si>
  <si>
    <t>Stand:</t>
  </si>
  <si>
    <t>Gültig ab:</t>
  </si>
  <si>
    <t>Zu berücksichtigender Einkommenszeitraum</t>
  </si>
  <si>
    <t>§ 93 Abs. 4 Satz 1 SGB VIII - Einkommen im vorherigen Kalenderjahr</t>
  </si>
  <si>
    <t xml:space="preserve"> </t>
  </si>
  <si>
    <t>Jahresbeträge</t>
  </si>
  <si>
    <t>Bruttoeinkommen</t>
  </si>
  <si>
    <t>Sonstiges Erwerbseinkommen</t>
  </si>
  <si>
    <t>Lohn-/Einkommensteuer</t>
  </si>
  <si>
    <t>Solidaritätszuschlag</t>
  </si>
  <si>
    <t>Kirchensteuer</t>
  </si>
  <si>
    <t>Krankenversicherung</t>
  </si>
  <si>
    <t>Pflegeversicherung</t>
  </si>
  <si>
    <t>Rentenversicherung</t>
  </si>
  <si>
    <t>Arbeitslosenversicherung</t>
  </si>
  <si>
    <t>Sonstiger Abzug</t>
  </si>
  <si>
    <t>Januar</t>
  </si>
  <si>
    <t>Februar</t>
  </si>
  <si>
    <t>März</t>
  </si>
  <si>
    <t>April</t>
  </si>
  <si>
    <t>Mai</t>
  </si>
  <si>
    <t>Juni</t>
  </si>
  <si>
    <t>Juli</t>
  </si>
  <si>
    <t>August</t>
  </si>
  <si>
    <t>September</t>
  </si>
  <si>
    <t>Oktober</t>
  </si>
  <si>
    <t>November</t>
  </si>
  <si>
    <t>Dezember</t>
  </si>
  <si>
    <t>Monatliche Nettobeträge</t>
  </si>
  <si>
    <t>+</t>
  </si>
  <si>
    <t>./.</t>
  </si>
  <si>
    <t>÷</t>
  </si>
  <si>
    <t>Weihnachtsgeld</t>
  </si>
  <si>
    <t>ist im vg. Einkommen bereits enthalten</t>
  </si>
  <si>
    <t>wird nicht bezogen</t>
  </si>
  <si>
    <t>Urlaubsgeld</t>
  </si>
  <si>
    <t>Beitrag zur Altersvorsorge</t>
  </si>
  <si>
    <t>Beitrag zur Krankenversicherung</t>
  </si>
  <si>
    <t>Beitrag zur Pflegeversicherung</t>
  </si>
  <si>
    <t>Beitrag zur Arbeitslosenversicherung</t>
  </si>
  <si>
    <t>Sonstiger Beitrag</t>
  </si>
  <si>
    <t>Pauschale Anerkennung 25% von</t>
  </si>
  <si>
    <t>=</t>
  </si>
  <si>
    <t>Einfache Fahrtstrecke zur Arbeitsstelle</t>
  </si>
  <si>
    <t>km</t>
  </si>
  <si>
    <t>Summe</t>
  </si>
  <si>
    <t>Beitragsstufe</t>
  </si>
  <si>
    <t>Gruppe</t>
  </si>
  <si>
    <t>Maßgebliches Einkommen nach § 93 Abs. 1 bis 3 SGB VIII - bis…</t>
  </si>
  <si>
    <t>Beitragsstufe 1 vollstationär</t>
  </si>
  <si>
    <t>Beitragsstufe 2 vollstationär</t>
  </si>
  <si>
    <t>Beitragsstufe 3 vollstationär</t>
  </si>
  <si>
    <t>Einkommensgruppe</t>
  </si>
  <si>
    <t>Einkommen</t>
  </si>
  <si>
    <t>Vorläufige Einkommensgruppe</t>
  </si>
  <si>
    <t>Anzahl weitere UH-Berechtigte</t>
  </si>
  <si>
    <t>Maßgebliche Einkommensgruppe</t>
  </si>
  <si>
    <t>Vorläufiger Kostenbeitrag</t>
  </si>
  <si>
    <t>Sonstiger berufsbedingter Aufwand, z.B. Spesen</t>
  </si>
  <si>
    <t>wird nachfolgend als Sonderzuwendung berücksichtigt</t>
  </si>
  <si>
    <t>an</t>
  </si>
  <si>
    <t>Auswahl</t>
  </si>
  <si>
    <t>Weihnachtsgeld / 13. Gehalt</t>
  </si>
  <si>
    <t>&lt;&lt;&lt; Auswahl</t>
  </si>
  <si>
    <t>Monatsbeträge ges.</t>
  </si>
  <si>
    <t>Jahressumme</t>
  </si>
  <si>
    <t>Jahressumme + Monatsbeträge gesamt</t>
  </si>
  <si>
    <t>Sonstige Zuwendung</t>
  </si>
  <si>
    <t>Vermietung/Verpachtung</t>
  </si>
  <si>
    <t>Renten</t>
  </si>
  <si>
    <t>Zinsen, Dividende, Kapitalerlöse</t>
  </si>
  <si>
    <t>Verbleibendes mtl. Einkommen</t>
  </si>
  <si>
    <t>Monatseinkommen</t>
  </si>
  <si>
    <t>Hinweise für die Sachbearbeitung</t>
  </si>
  <si>
    <t xml:space="preserve"> &lt;&lt;&lt; Auswahl</t>
  </si>
  <si>
    <t>Belastungen nach § 93 Abs. 3 SGB VIII</t>
  </si>
  <si>
    <r>
      <t xml:space="preserve">Monatseinkommen </t>
    </r>
    <r>
      <rPr>
        <sz val="10"/>
        <rFont val="Arial"/>
        <family val="2"/>
      </rPr>
      <t>(Übertrag)</t>
    </r>
  </si>
  <si>
    <t>mtl. Betrag</t>
  </si>
  <si>
    <t>Monatliche Beiträge zur Risikoabsicherung, soweit vorstehend unberücksichtigt</t>
  </si>
  <si>
    <t>Berufsbedingter Aufwand / Sonstige Belastungen, soweit vorstehend unberücksichtigt</t>
  </si>
  <si>
    <t>Mtl. Beitrag zu öff./priv. Versicherungen u.ä. Einr.</t>
  </si>
  <si>
    <t>Schuldverpflichtungen</t>
  </si>
  <si>
    <t>Sonstige Belastungen iSd § 93 Abs. 3 SGB VIII</t>
  </si>
  <si>
    <t xml:space="preserve">Berechnung des Kostenbeitrags für die Zeit vom </t>
  </si>
  <si>
    <t>Der o.a. junge Mensch ist</t>
  </si>
  <si>
    <t>Kostenbeitrag nach § 94 SGB VIII / Kostenbeitragsverordnung</t>
  </si>
  <si>
    <t>(1. vollstationär betreute Person)</t>
  </si>
  <si>
    <t>(teilstationär betreute Person)</t>
  </si>
  <si>
    <t>(2. vollstationär betreute Person)</t>
  </si>
  <si>
    <t>(3. vollstationär betreute Person)</t>
  </si>
  <si>
    <t>Statt Pauschale: Nachgewiesene, nach Grund und Höhe angemessene Belastungen:</t>
  </si>
  <si>
    <t>Hier finden Sie zusätzliche Infos und Hinweise. Diese werden nicht ausgedruckt.</t>
  </si>
  <si>
    <t>Hier werden die Aufwendungen nach § 93 Abs. 2 Nr. 3 SGB VIII erfasst, soweit diese nicht bereits oben (bei der Eingabe der Sozialversicherungsbeiträge) berücksichtigt wurden. Hier können z.B. Beiträge zu Lebensversicherungen (Absicherung des Risikos "Alter") und ähnliches erfasst werden. 
Tragen Sie statt der vorgeschlagenen Begriffe die konkreten Bezeichnungen im Einzelfall ein.</t>
  </si>
  <si>
    <t>Es wird automatisch die Pauschale von 25 % des Einkommens oder die erfassten Belastungen berücksichtigt, je nach dem, welcher Betrag höher ist.</t>
  </si>
  <si>
    <t>Hier erfasste Belastungen müssen nachgewiesen sein und dürfen die Grundsätze einer wirtschaftlichen Lebensführung nicht verletzen.</t>
  </si>
  <si>
    <t>Dieses Einkommen wird zur Eingruppierung in der Kostenbeitragstabelle verwendet.</t>
  </si>
  <si>
    <t>Dieser Kostenbeitrag ist per Bescheid festzusetzen. Beachten Sie, dass zusätzlich auch das für den jungen Menschen gezahlte Kindergeld als Kostenbeitrag zu verlangen ist, sofern es der Pflichtige bezieht.</t>
  </si>
  <si>
    <t>Name JM</t>
  </si>
  <si>
    <t>Name Pflichtige/r</t>
  </si>
  <si>
    <t>Umgruppierung in die Einkommensgruppe</t>
  </si>
  <si>
    <t>Geben Sie die Umgruppierung gem. Anmerkungen zur Düsseldorfer Tabelle manuell ein. Andernfalls wird die Berechnung hier nicht fortgesetzt.</t>
  </si>
  <si>
    <t>Name des</t>
  </si>
  <si>
    <t>geb. am</t>
  </si>
  <si>
    <t>Eigene</t>
  </si>
  <si>
    <t>Unterhalts-</t>
  </si>
  <si>
    <t>Berechtigten</t>
  </si>
  <si>
    <t>Einkünfte</t>
  </si>
  <si>
    <t>bedarf</t>
  </si>
  <si>
    <r>
      <t xml:space="preserve">Auswahlfelder: In </t>
    </r>
    <r>
      <rPr>
        <b/>
        <u/>
        <sz val="8"/>
        <color indexed="9"/>
        <rFont val="Arial"/>
        <family val="2"/>
      </rPr>
      <t>allen</t>
    </r>
    <r>
      <rPr>
        <sz val="8"/>
        <color indexed="9"/>
        <rFont val="Arial"/>
        <family val="2"/>
      </rPr>
      <t xml:space="preserve"> Auswahlfeldern muss eine Auswahl getroffen werden. Lassen Sie </t>
    </r>
    <r>
      <rPr>
        <b/>
        <sz val="8"/>
        <color indexed="9"/>
        <rFont val="Arial"/>
        <family val="2"/>
      </rPr>
      <t>nicht</t>
    </r>
    <r>
      <rPr>
        <sz val="8"/>
        <color indexed="9"/>
        <rFont val="Arial"/>
        <family val="2"/>
      </rPr>
      <t xml:space="preserve"> den Begriff "Bitte wählen…" stehen, sonst ist die Berechnung unvollständig und führt ggf. zu falschen Ergebnissen.</t>
    </r>
  </si>
  <si>
    <r>
      <t xml:space="preserve">In der linken Spalte können Sie Jahresbeträge (z.B. aus der Dezember-Abrechnung) erfassen, in der rechten Spalte alternativ oder zusätzlich Nettoeinkünfte der einzelnen Monate. 
Die Summen aus </t>
    </r>
    <r>
      <rPr>
        <b/>
        <u/>
        <sz val="8"/>
        <color indexed="9"/>
        <rFont val="Arial"/>
        <family val="2"/>
      </rPr>
      <t>beiden</t>
    </r>
    <r>
      <rPr>
        <sz val="8"/>
        <color indexed="9"/>
        <rFont val="Arial"/>
        <family val="2"/>
      </rPr>
      <t xml:space="preserve"> Spalten werden addiert und auf einen Monatsbetrag umgerechnet. Dafür maßgeblich ist die Anzahl der Monate im oben festgelegten Einkommenszeitraum.</t>
    </r>
  </si>
  <si>
    <r>
      <t>Fahrtkosten:</t>
    </r>
    <r>
      <rPr>
        <sz val="8"/>
        <color indexed="9"/>
        <rFont val="Arial"/>
        <family val="2"/>
      </rPr>
      <t xml:space="preserve"> Standard ist ein Wert von </t>
    </r>
    <r>
      <rPr>
        <b/>
        <sz val="8"/>
        <color indexed="9"/>
        <rFont val="Arial"/>
        <family val="2"/>
      </rPr>
      <t>220 Arbeitstagen pro Kalenderjahr</t>
    </r>
    <r>
      <rPr>
        <sz val="8"/>
        <color indexed="9"/>
        <rFont val="Arial"/>
        <family val="2"/>
      </rPr>
      <t xml:space="preserve"> (12 Monate) bei Vollzeittätigkeit. Dieser Wert orientiert sich am Steuerrecht. Tragen Sie ggf.einen anderen Wert ein, wenn der oben festgelegte Einkommenszeitraum eine abweichende Anzahl von Arbeitstagen enthält oder mehr/weniger als 5 Tage pro Woche gearbeitet wird. Grundsätzlich muss hier die Gesamtzahl der Arbeitstage in den angezeigten Monaten erfasst werden, an denen Fahrten zur Arbeitsstätte erfolgten. Beachten Sie, dass öff. Verkehrsmittel vorrangig zu nutzen sind.</t>
    </r>
  </si>
  <si>
    <t>Kilometerpauschale KB-Recht</t>
  </si>
  <si>
    <t>Kilometerpauschale UH-Recht</t>
  </si>
  <si>
    <t xml:space="preserve">Arbeitstagen in </t>
  </si>
  <si>
    <t>Einkünfte aus Vermietung/Verpachtung</t>
  </si>
  <si>
    <t>Renteneinkünfte</t>
  </si>
  <si>
    <t>Einkünfte aus Zinsen, Dividenden, Kapitalerlösen</t>
  </si>
  <si>
    <t>Sonstige Zuwendungen</t>
  </si>
  <si>
    <t>Nettoeinkünfte aus Selbstständigkeit, siehe ggf. Nebenrechnung</t>
  </si>
  <si>
    <t xml:space="preserve">Sofern Sie einen "Unterhalt laut Titel" eingeben, übersteuert dieser den ermittelten Tabellenunterhalt und den ausgewählten Kindergeldabzug. </t>
  </si>
  <si>
    <t>laut</t>
  </si>
  <si>
    <t>Titel</t>
  </si>
  <si>
    <t>Sonstige unterhaltsrechtlich relevante Einkünfte</t>
  </si>
  <si>
    <t>Einkommenszeitraum</t>
  </si>
  <si>
    <t>Unterhaltsrechtlich relevantes Einkommen nach BGB</t>
  </si>
  <si>
    <t>Berufsbedingte Aufwendungen</t>
  </si>
  <si>
    <t>Fahrtkosten: Einfache Fahrtstrecke zur Arbeitsstelle</t>
  </si>
  <si>
    <t>oder</t>
  </si>
  <si>
    <t>Pauschale für Fahrtkosten und sonstigen beruflichen Aufwand</t>
  </si>
  <si>
    <t>gefahren an</t>
  </si>
  <si>
    <t>Sonstiger berufsbedingter Aufwand</t>
  </si>
  <si>
    <r>
      <t>oder</t>
    </r>
    <r>
      <rPr>
        <sz val="10"/>
        <rFont val="Arial"/>
        <family val="2"/>
      </rPr>
      <t xml:space="preserve"> in nachgewiesener, angemessener Höhe:</t>
    </r>
  </si>
  <si>
    <t>Ergebnis der Prüfung nach § 4 Abs. 2 KostenbeitragsV</t>
  </si>
  <si>
    <r>
      <t xml:space="preserve">In der linken Spalte können Sie Jahresbeträge (z.B. aus der Dezember-Abrechnung) erfassen, in der rechten Spalte alternativ oder zusätzlich Nettoeinkünfte der einzelnen Monate. 
Die Summen aus </t>
    </r>
    <r>
      <rPr>
        <b/>
        <u/>
        <sz val="8"/>
        <color indexed="9"/>
        <rFont val="Arial"/>
        <family val="2"/>
      </rPr>
      <t>beiden</t>
    </r>
    <r>
      <rPr>
        <sz val="8"/>
        <color indexed="9"/>
        <rFont val="Arial"/>
        <family val="2"/>
      </rPr>
      <t xml:space="preserve"> Spalten werden addiert und auf einen Monatsbetrag umgerechnet. Dafür maßgeblich ist die Anzahl der Monate im oben festgelegten Einkommenszeitraum.</t>
    </r>
  </si>
  <si>
    <t>Ermittlung des Unterhaltsbedarfs nach Düsseldorfer Tabelle</t>
  </si>
  <si>
    <t>Zunächst maßgebl. Einkommensgruppe der Düsseldorfer Tabelle</t>
  </si>
  <si>
    <t xml:space="preserve"> (siehe Düsseldorfer Tabelle)</t>
  </si>
  <si>
    <t>Anspruch lt.</t>
  </si>
  <si>
    <t>Düss. Tab.</t>
  </si>
  <si>
    <r>
      <t xml:space="preserve">Geben Sie </t>
    </r>
    <r>
      <rPr>
        <b/>
        <u/>
        <sz val="8"/>
        <color indexed="9"/>
        <rFont val="Arial"/>
        <family val="2"/>
      </rPr>
      <t>unbedingt</t>
    </r>
    <r>
      <rPr>
        <sz val="8"/>
        <color indexed="9"/>
        <rFont val="Arial"/>
        <family val="2"/>
      </rPr>
      <t xml:space="preserve"> den Zeitraum ein, aus dem Sie nachstehend das unterhaltsrechtlich relevante Einkommen ermitteln. Beide Felder müssen ausgefüllt sein, damit die Anzahl der Monate korrekt errechnet werden kann.</t>
    </r>
  </si>
  <si>
    <t>Es wird automatisch festgestellt, ob die 5 % - Pauschale oder der in den folgenden Zeilen errechnete Betrag für berufsbedingte Aufwendungen zu berücksichtigen ist.</t>
  </si>
  <si>
    <t>Tragen Sie hier Bezeichnung und Betrag weiterer nachgewiesener, angemessener Aufwendungen ein.</t>
  </si>
  <si>
    <r>
      <t xml:space="preserve">Grundsätzlich ist die 5%-Pauschale für berufsbedingte Aufwendungen abzusetzen. Nur wenn die </t>
    </r>
    <r>
      <rPr>
        <b/>
        <u/>
        <sz val="8"/>
        <color indexed="9"/>
        <rFont val="Arial"/>
        <family val="2"/>
      </rPr>
      <t>nachgewiesenen</t>
    </r>
    <r>
      <rPr>
        <sz val="8"/>
        <color indexed="9"/>
        <rFont val="Arial"/>
        <family val="2"/>
      </rPr>
      <t xml:space="preserve"> Kosten höher sind, können diese in angemessener Höhe anerkannt werden.
Für die Berechnung von Fahrtkosten müssen Sie die einfache Fahrtstrecke zur Arbeitsstelle eingeben und festlegen, an wie vielen Tagen diese in wie vielen Monaten (s. oben erfasster Einkommenszeitraum) gefahren wurde. </t>
    </r>
  </si>
  <si>
    <t>Tragen Sie hier Bezeichnungen und Beträge sonstiger Einkünfte ein.</t>
  </si>
  <si>
    <t>Hier beginnt Seite 2 des Ausdrucks.</t>
  </si>
  <si>
    <r>
      <t xml:space="preserve">Sie müssen die Namen und </t>
    </r>
    <r>
      <rPr>
        <b/>
        <u/>
        <sz val="8"/>
        <color indexed="9"/>
        <rFont val="Arial"/>
        <family val="2"/>
      </rPr>
      <t>unbedingt das Geburtsdatum</t>
    </r>
    <r>
      <rPr>
        <sz val="8"/>
        <color indexed="9"/>
        <rFont val="Arial"/>
        <family val="2"/>
      </rPr>
      <t xml:space="preserve"> aller minderjährigen und privilegierten volljährigen Geschwister des jungen Menschen eintragen, damit die korrekte Altersstufe und damit der korrekte Unterhalt nach Düsseldorfer Tabelle ermittelt werden kann.</t>
    </r>
  </si>
  <si>
    <t>Vergessen Sie nicht, etwaige eigene Einkünfte der Berechtigten einzutragen. Diese sind vom Unterhaltsanspruch in jedem Fall abzusetzen.</t>
  </si>
  <si>
    <t>Nebenrechnung zum Schmälerungsverbot</t>
  </si>
  <si>
    <t>gemäß § 4 Abs. 2 KostenbeitragsV</t>
  </si>
  <si>
    <t>Schmälerungsverbot gemäß § 4 Abs. 2 KostenbeitragsV</t>
  </si>
  <si>
    <t>Zugrunde liegendes Wirtschaftsjahr</t>
  </si>
  <si>
    <t>Betriebseinnahmen (vor Abzug notwendiger Betriebsausgaben)</t>
  </si>
  <si>
    <t>Einnahmen aus Vermietung und Verpachtung</t>
  </si>
  <si>
    <t>s. Anlage V der Einkommensteuererklärung</t>
  </si>
  <si>
    <t>Einnahmen aus Kapitalvermögen</t>
  </si>
  <si>
    <t>s. Anlage KSO der Einkommensteuererklärung</t>
  </si>
  <si>
    <t>Sonstige betriebliche Einnahmen</t>
  </si>
  <si>
    <t>s. entsprechende Nachweise</t>
  </si>
  <si>
    <t>Einkommensteuer</t>
  </si>
  <si>
    <t>Zinsabschlagsteuer</t>
  </si>
  <si>
    <t>Kapitalertragsteuer</t>
  </si>
  <si>
    <t xml:space="preserve">Nach Grund und Höhe angemessene Jahresbeiträge des Pflichtigen </t>
  </si>
  <si>
    <t>(nicht für dessen Angehörige) zu</t>
  </si>
  <si>
    <t>- Krankenversicherungen</t>
  </si>
  <si>
    <t>s. entsprechende Nachweise; anzuerkennende Beiträge siehe Heranziehungsrichtlinie</t>
  </si>
  <si>
    <t>- Pflegeversicherungen</t>
  </si>
  <si>
    <t>- Altersvorsorge (max. 20 % des steuerlichen Gewinns)</t>
  </si>
  <si>
    <t>- Zusätzliche Altersvorsorge (max. 4 % des steuerlichen Gewinns)</t>
  </si>
  <si>
    <t>- ggf. berufsständischen Versorgungseinrichtungen</t>
  </si>
  <si>
    <t>Betriebliche Ausgaben</t>
  </si>
  <si>
    <t>Gesamt</t>
  </si>
  <si>
    <t>Einkommen im Wirtschaftsjahr</t>
  </si>
  <si>
    <t>Umrechnung auf monatliches Einkommen</t>
  </si>
  <si>
    <t>Monate</t>
  </si>
  <si>
    <t>Nettoerwerbseinkommen aus selbstständiger Tätigkeit</t>
  </si>
  <si>
    <t>(nur positive Beträge, kein Verlustausgleich)</t>
  </si>
  <si>
    <t>Vereinfachte Berechnung</t>
  </si>
  <si>
    <t>Zu berücksichtigendes</t>
  </si>
  <si>
    <t>Jahr</t>
  </si>
  <si>
    <t>Netto-Jahreseinkommen im Jahr</t>
  </si>
  <si>
    <t>für</t>
  </si>
  <si>
    <t>Unterhaltsrechtlich relevantes mtl. Einkommen</t>
  </si>
  <si>
    <t>(Nur positive Einkünfte,</t>
  </si>
  <si>
    <t>aus selbstständiger Tätigkeit (§ 93 SGB VIII)</t>
  </si>
  <si>
    <t>kein Verlustausgleich)</t>
  </si>
  <si>
    <t>Wirtschaftsjahr</t>
  </si>
  <si>
    <t>ist noch nicht abgeschlossen.</t>
  </si>
  <si>
    <t>ist endgültig abgeschlossen.</t>
  </si>
  <si>
    <t>Gültig ab</t>
  </si>
  <si>
    <t>Einkommen aus selbstständiger Tätigkeit</t>
  </si>
  <si>
    <t>Kostenbeitragsrechtlich relevantes Einkommen</t>
  </si>
  <si>
    <t>Nebenrechnung zum Einkommen aus selbstständiger Tätigkeit</t>
  </si>
  <si>
    <t>Unterhaltsrechtlich relevantes Einkommen</t>
  </si>
  <si>
    <r>
      <t xml:space="preserve">Tragen Sie das Wirtschaftsjahr ein und legen Sie fest, ob es sich um ein </t>
    </r>
    <r>
      <rPr>
        <b/>
        <sz val="8"/>
        <color indexed="9"/>
        <rFont val="Arial"/>
        <family val="2"/>
      </rPr>
      <t>abgeschlossenes</t>
    </r>
    <r>
      <rPr>
        <sz val="8"/>
        <color indexed="9"/>
        <rFont val="Arial"/>
        <family val="2"/>
      </rPr>
      <t xml:space="preserve"> Wirtschaftsjahr handelt. Nur bei abgeschlossenen Wirtschaftsjahren ist die Kostenbeitragsfestsetzung endgültig.</t>
    </r>
  </si>
  <si>
    <r>
      <t>Ändern</t>
    </r>
    <r>
      <rPr>
        <sz val="8"/>
        <color indexed="9"/>
        <rFont val="Arial"/>
        <family val="2"/>
      </rPr>
      <t xml:space="preserve"> Sie den vorgegebenen Wert von 12 Monaten, wenn das Einkommen einen anderen Zeitraum betrifft.</t>
    </r>
  </si>
  <si>
    <r>
      <t xml:space="preserve">Die unterhaltsrechtliche Ermittlung des Einkommens ist hier </t>
    </r>
    <r>
      <rPr>
        <b/>
        <sz val="8"/>
        <color indexed="9"/>
        <rFont val="Arial"/>
        <family val="2"/>
      </rPr>
      <t>vereinfacht.</t>
    </r>
  </si>
  <si>
    <r>
      <t xml:space="preserve">Tragen Sie unbedingt </t>
    </r>
    <r>
      <rPr>
        <b/>
        <sz val="8"/>
        <color indexed="9"/>
        <rFont val="Arial"/>
        <family val="2"/>
      </rPr>
      <t>die Zahl der Monate</t>
    </r>
    <r>
      <rPr>
        <sz val="8"/>
        <color indexed="9"/>
        <rFont val="Arial"/>
        <family val="2"/>
      </rPr>
      <t xml:space="preserve"> ein, auf die sich die Jahreseinkünfte beziehen. 
Einkommen siehe Steuerbescheide oder andere geeignete Nachweise in der Regel der letzten </t>
    </r>
    <r>
      <rPr>
        <b/>
        <sz val="8"/>
        <color indexed="9"/>
        <rFont val="Arial"/>
        <family val="2"/>
      </rPr>
      <t>drei</t>
    </r>
    <r>
      <rPr>
        <sz val="8"/>
        <color indexed="9"/>
        <rFont val="Arial"/>
        <family val="2"/>
      </rPr>
      <t xml:space="preserve"> abgeschlossenen Wirtschaftsjahre</t>
    </r>
  </si>
  <si>
    <r>
      <t>Berechnungsvorlagen für die Jugendhilfe   -   Ein Service von</t>
    </r>
    <r>
      <rPr>
        <sz val="8"/>
        <color indexed="13"/>
        <rFont val="Arial"/>
        <family val="2"/>
      </rPr>
      <t xml:space="preserve"> </t>
    </r>
  </si>
  <si>
    <t>Negative Einnahmen werden automatisch auf 0,00 € gesetzt, da kein Verlustausgleich zwischen Einkommensarten stattfindet. Dieses Ergebnis wird in die Kostenbeitragsberechnung übernommen.</t>
  </si>
  <si>
    <r>
      <t xml:space="preserve">Negative Einkünfte werden automatisch auf 0,00 € gesetzt, da </t>
    </r>
    <r>
      <rPr>
        <b/>
        <sz val="8"/>
        <color indexed="9"/>
        <rFont val="Arial"/>
        <family val="2"/>
      </rPr>
      <t>kein Verlustausgleich</t>
    </r>
    <r>
      <rPr>
        <sz val="8"/>
        <color indexed="9"/>
        <rFont val="Arial"/>
        <family val="2"/>
      </rPr>
      <t xml:space="preserve"> zwischen Einkommensarten stattfindet. Dieses Ergebnis wird in die Nebenrechnung zum Schmälerungsverbot übernommen.</t>
    </r>
  </si>
  <si>
    <t>Dieses Ergebnis wird zur Eingruppierung in die Düsseldorfer Tabelle verwendet.</t>
  </si>
  <si>
    <t>Treffen Sie eine Auswahl, ob in den oben eingegebenen Beträgen Weihnachtsgeld, 13. Gehalt, Urlaubsgeld und ähnliche Einkünfte enthalten oder anteilig hinzuzurechnen sind. Sollten weitere Einkünfte (Bonuszahlungen, Prämien, etc.) erzielt werden, tragen Sie diese in eine der Zeilen als durchschnittlichen Monatsbetrag ein. Ersetzen Sie den Begriff "mtl. Betrag" durch konkrete Bezeichnungen im Einzelfall.
Es zählen alle Einkünfte des o.a. Zeitraums. Sollten (zusätzlich) Einkünfte aus selbstständiger Tätigkeit erzielt worden sein, müssen diese in der Nebenrechnung ermittelt werden.</t>
  </si>
  <si>
    <t>Nettoeinkünfte aus Selbstständigkeit - falls vorhanden - gemäß Nebenrechnung</t>
  </si>
  <si>
    <t>Einkommen aus nichtselbstständiger Tätigkeit nach § 93 Abs. 1 und 2 SGB VIII</t>
  </si>
  <si>
    <t>Dieser Wert wird in der Nebenrechnung ermittelt.</t>
  </si>
  <si>
    <t>Kostenbeitragstabelle</t>
  </si>
  <si>
    <t>gemäß Kostenbeitragsverordnung</t>
  </si>
  <si>
    <t>25 % des Eink.</t>
  </si>
  <si>
    <t>15% des Eink.</t>
  </si>
  <si>
    <t>10% des Eink.</t>
  </si>
  <si>
    <t>5% des Eink.</t>
  </si>
  <si>
    <t>Einkommens-
gruppe</t>
  </si>
  <si>
    <t>Erläuterungen zur Umgruppierung</t>
  </si>
  <si>
    <t>Für die Heranziehung in Hessen gilt die Düsseldorfer Tabelle nach den Leitlinien des OLG Frankfurt.</t>
  </si>
  <si>
    <t>nach den Umständen des Einzelfalles</t>
  </si>
  <si>
    <t>Die Düsseldorfer Tabelle geht von insgesamt zwei Unterhaltsverpflichtungen aus. Bei einer größeren /</t>
  </si>
  <si>
    <t>geringeren Anzahl ist eine Einstufung in die nächste höhere bzw. niedrigere Gruppe angemessen.</t>
  </si>
  <si>
    <t>Zur Deckung des Mindestbedarfs aller Beteiligten (einschl. Ehegatten) ist ggf. eine Herabstufung bis in die</t>
  </si>
  <si>
    <t>unterste Tabellengruppe (Mindestunterhalt) vorzunehmen (s. Anmerkung 1 zur Düsseldorfer Tabelle).</t>
  </si>
  <si>
    <t>Betrag laut Nebenrechnung "Einkommen selbst. Tätigkeit"</t>
  </si>
  <si>
    <t>Monats-Nettobeträge</t>
  </si>
  <si>
    <t>Die Nebenrechnung muss nur ausgefüllt und gedruckt werden, wenn Sie in der Hauptberechnung entschieden haben, dass es Ansprüche vor- oder gleichrangig Berechtigter gibt und diese gemäß § $ Abs. 2 KostenbeitragsV zu schützen sind.</t>
  </si>
  <si>
    <t>für Elternteile, Ehegatten und Lebenspartner des volljährigen jungen Menschen</t>
  </si>
  <si>
    <t>Unterhaltsbedarf vorrangig Berechtigter des 1. Ranges</t>
  </si>
  <si>
    <t>(Minderjährige und privilegierte junge Volljährige, soweit nicht durch stationäre Unterbringung versorgt)</t>
  </si>
  <si>
    <t>Selbstbehalt des Pflichtigen gegenüber Berechtigten des 1. Ranges</t>
  </si>
  <si>
    <t>Verbleibendes Einkommen</t>
  </si>
  <si>
    <t>Unterhaltsbedarf vorrangig Berechtigter des 2. Ranges</t>
  </si>
  <si>
    <t>(Berechtigte nach § 1615 l BGB - Betreuungsunterhalt)</t>
  </si>
  <si>
    <t>Name des Berechtigten</t>
  </si>
  <si>
    <t>Eigenschaften des Berechtigten / 
Erläuterung Unterhaltsgrundlage</t>
  </si>
  <si>
    <t>Maßgebl.
Unterhalt
(lt. Titel)</t>
  </si>
  <si>
    <t>Eigene 
Einkünfte
./.</t>
  </si>
  <si>
    <t>Unterhalts-
bedarf</t>
  </si>
  <si>
    <t>Gesamtbedarf der Berechtigten 1. Ranges</t>
  </si>
  <si>
    <t>Gesamtbedarf der Berechtigten 2. Ranges</t>
  </si>
  <si>
    <t>Nebenrechnung "Schmälerungsverbot"</t>
  </si>
  <si>
    <r>
      <t xml:space="preserve">Für eine korrekte Bestimmung des maßgeblichen Einkommenszeitraums muss zumindest eingetragen werden, </t>
    </r>
    <r>
      <rPr>
        <b/>
        <u/>
        <sz val="8"/>
        <color indexed="9"/>
        <rFont val="Arial"/>
        <family val="2"/>
      </rPr>
      <t>ab</t>
    </r>
    <r>
      <rPr>
        <b/>
        <sz val="8"/>
        <color indexed="9"/>
        <rFont val="Arial"/>
        <family val="2"/>
      </rPr>
      <t xml:space="preserve"> </t>
    </r>
    <r>
      <rPr>
        <sz val="8"/>
        <color indexed="9"/>
        <rFont val="Arial"/>
        <family val="2"/>
      </rPr>
      <t>welchem Zeitpunkt der hier berechnete Kostenbeitrag gefordert wird</t>
    </r>
    <r>
      <rPr>
        <sz val="8"/>
        <color indexed="9"/>
        <rFont val="Arial"/>
        <family val="2"/>
      </rPr>
      <t>.</t>
    </r>
  </si>
  <si>
    <t>§ 93 Abs. 4 Satz 2 und 3 SGB VIII - Einkommen im Jahr der Leistung</t>
  </si>
  <si>
    <t>§ 93 Abs. 4 Satz 4 SGB VIII - Einkommen im Härtefallzeitraum</t>
  </si>
  <si>
    <r>
      <t xml:space="preserve">Wählen Sie aus, welcher Einkommenszeitraum gilt (Standard ist das vorherige Kalenderjahr). Im Härtefall muss der Einkommenszeitraum manuell eingetragen werden. </t>
    </r>
    <r>
      <rPr>
        <b/>
        <u/>
        <sz val="8"/>
        <color theme="0"/>
        <rFont val="Arial"/>
        <family val="2"/>
      </rPr>
      <t>Achtung:</t>
    </r>
    <r>
      <rPr>
        <sz val="8"/>
        <color theme="0"/>
        <rFont val="Arial"/>
        <family val="2"/>
      </rPr>
      <t xml:space="preserve"> Die Formeln in dem von- und bis-Feld werden in diesem Fall überschrieben, danach muss - unabhängig vom Auswahlfeld - der richtige Zeitraum manuell erfasst werden.</t>
    </r>
  </si>
  <si>
    <t>Freilassung</t>
  </si>
  <si>
    <t>verbleibender Betrag</t>
  </si>
  <si>
    <t>Für die Eingruppierung sind der junge Mensch sowie alle gegenüber dem Kostenbeitragspflichtigen unterhaltsberechtigten (auch untergebrachte) Personen einzutragen, ohne Rücksicht auf deren Rang.  Dazu zählen auch Ehegatten und volljährige Kinder, soweit sie sich nicht selbst unterhalten können.</t>
  </si>
  <si>
    <t>Übertrag</t>
  </si>
  <si>
    <t>Die Umgruppierung richtet sich zunächst nach § 4 Absatz 1 KostenbeitragsV. Anschließend wird ggf. nach § 6 Satz 1-3 KostenbeitragsV eingruppiert.</t>
  </si>
  <si>
    <t>Es ist KEINE Reduzierung des Kostenbeitrags vorzunehmen.</t>
  </si>
  <si>
    <t>Laut Nebenrechnung ist eine Reduzierung des Kostenbeitrags vorzunehmen.</t>
  </si>
  <si>
    <t>Treffen Sie eine Auswahl, ob Unterhaltsansprüche vor- und gleichrangig Berechtigter vorliegen und durch den Kostenbeitrag geschmälert werden. In diesem Fall ist die Nebenrechnung zum Schmälerungsverbot  notwendig.</t>
  </si>
  <si>
    <t>Bezeichnung</t>
  </si>
  <si>
    <t>Die Hilfe erfolgt in einer Wochengruppe, der jg. Mensch lebt im Haushalt d. Kostenbeitragspflichtigen</t>
  </si>
  <si>
    <t>Es erfolgt wegen Wochengruppenunterbringung eine Freilassung von 50 %</t>
  </si>
  <si>
    <t>Die Hilfe erfolgt in einer Wochengruppe, der jg. Mensch lebt im Haushalt des anderen Elternteils</t>
  </si>
  <si>
    <t>Es erfolgt keine Freilassung wegen Wochengruppenunterbringung</t>
  </si>
  <si>
    <t>Freilassung bei Wochengruppenunterbringung</t>
  </si>
  <si>
    <t>Unterhaltsrechtlich relevante Einkünfte</t>
  </si>
  <si>
    <t>Unterhaltsrechtlich relevante Einkünfte (Übertrag)</t>
  </si>
  <si>
    <t>Beträge soweit noch nicht beim Einkommen berücksichtigt</t>
  </si>
  <si>
    <t>Unterhaltsrechtlich relevante Beiträge zur Risikoabsicherung und weitere Belastungen</t>
  </si>
  <si>
    <t>Tragen Sie hier Beiträge und weitere Belastungen ein, die beim o.a. Einkommen noch nicht berücksichtigt wurden, aber unterhaltsrechtlich anerkannt werden können. Die vorgegebenen Begriffe können überschrieben werden.</t>
  </si>
  <si>
    <r>
      <t xml:space="preserve">Berücksichtigung weiterer Unterhaltspflichten
</t>
    </r>
    <r>
      <rPr>
        <sz val="9"/>
        <rFont val="Arial"/>
        <family val="2"/>
      </rPr>
      <t>Ist die kostenbeitragspflichtige Person gegenüber anderen Personen nach § 1609 BGB im mindestens gleichen Rang wie dem untergebrachten jungen Menschen oder Leistungsberechtigten nach § 19 des SGB VIII zum Unterhalt verpflichtet und lebt sie mit ihnen in einem gemeinsamen Haushalt oder weist sie nach, dass sie ihren Unterhaltspflichten regelmäßig nachkommt, so ist sie
1. bei einer Zuordnung des maßgeblichen Einkommens zu einer der Einkommensgruppen 2 bis 6 je Unterhalts-
    pflicht einer um zwei Stufen niedrigeren Einkommensgruppe zuzuordnen,
2. bei einer Zuordnung des maßgeblichen Einkommens zu einer der Einkommensgruppen 7 bis 18 je
    Unterhaltspflicht einer um eine Stufe niedrigeren Einkommensgruppe zuzuordnen
und zu einem entsprechend niedrigeren Kostenbeitrag heranzuziehen.
Bei Leistungen für junge Volljährige sind Eltern höchstens zu einem Kostenbeitrag aufgrund der Einkommensgruppe 13 heranzuziehen. Die Begrenzung auf die Einkommensgruppe 13 gilt nicht für Ehegatten und Lebenspartner des jungen Menschen.
Gemäß § 6 Satz 4 KostenbeitragsV erfolgt bei der Heranziehung von Eltern eines jungen Volljährigen zunächst
die Eingruppierung nach § 4 Absatz 1 KostenbeitragsV, soweit vorrangig und/oder gleichrangig berechtigte 
Unterhaltsansprüche bestehen. Ergibt sich daraus eine Zuordnung des maßgeblichen Einkommens zu der 
Einkommensgruppe 2 oder 3, richtet sich die Kostenbeitragspflicht gemäß § 6 Satz 2 KostenbeitragsV 
letztlich nach der Einkommensgruppe 1. Bei einer Zuordnung des maßgeblichen Einkommens zu der 
Einkommensgruppe 4 ergibt sich ein Kostenbeitrag gemäß Einkommensgruppe 2.</t>
    </r>
  </si>
  <si>
    <t>Aktenzeichen, Datum der Berechnung</t>
  </si>
  <si>
    <t>Aktenzeichen</t>
  </si>
  <si>
    <t>Datum</t>
  </si>
  <si>
    <t>Unterschrift</t>
  </si>
  <si>
    <t>Die Hilfe erfolgt voll- oder teilstationär durchgehend während der gesamten Woche</t>
  </si>
  <si>
    <t>Nr.</t>
  </si>
  <si>
    <t>Umgruppierung für 1. weiteren Berechtigten nach Gruppe</t>
  </si>
  <si>
    <t>Umgruppierung für 2. weiteren Berechtigten nach Gruppe</t>
  </si>
  <si>
    <t>Umgruppierung für 3. weiteren Berechtigten nach Gruppe</t>
  </si>
  <si>
    <t>Umgruppierung für 4. weiteren Berechtigten nach Gruppe</t>
  </si>
  <si>
    <t>Umgruppierung für 5. weiteren Berechtigten nach Gruppe</t>
  </si>
  <si>
    <t>Umgruppierung für 6. weiteren Berechtigten nach Gruppe</t>
  </si>
  <si>
    <t>Umgruppierung für 7. weiteren Berechtigten nach Gruppe</t>
  </si>
  <si>
    <t>Umgruppierung für 8. weiteren Berechtigten nach Gruppe</t>
  </si>
  <si>
    <t>Umgruppierung für 9. weiteren Berechtigten nach Gruppe</t>
  </si>
  <si>
    <t xml:space="preserve">Geben Sie die Anzahl der vor-/gleichrangig Berechtigten ein, die nicht in Jugendhilfemaßnahmen untergebracht sind. Es erfolgt je weiterem Berechtigtem eine neue Ein- und Umgruppierung (siehe Ziffer 6.3.8 der Heranziehungsrichtlinie). 
Sind keine vor-/gleichrangig Berechtigten vorhanden, geben Sie 0 ein. </t>
  </si>
  <si>
    <t>anzurechnender</t>
  </si>
  <si>
    <t>Kindergeldbezug</t>
  </si>
  <si>
    <t>Treffen Sie für jeden eingetragenen Berechtigten unbedingt die Entscheidung, ob für ihn Kindergeld gewährt wird. Sind beide Eltern diesem ggü. unterhaltspflichtig, ist das Kindergeld hälftig, andernfalls voll abzusetzen.</t>
  </si>
  <si>
    <t>Selbstbehalt gg. Berechtigten 3. Rang</t>
  </si>
  <si>
    <t>Selbstbehalt vollzeit erwerbstätig 1. Rang</t>
  </si>
  <si>
    <t>Selbstbehal teilzeit erwerbstätig 1. Rang</t>
  </si>
  <si>
    <t>Selbstbehalt nicht erwerbstätig 1. Rang</t>
  </si>
  <si>
    <t>OLG 21.3.2</t>
  </si>
  <si>
    <t>OLG 21.4</t>
  </si>
  <si>
    <t>Selbstbehalt gg. Berechtigten 4. Rang</t>
  </si>
  <si>
    <t>OLG 21.3.1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</si>
</sst>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44" formatCode="_-* #,##0.00\ &quot;€&quot;_-;\-* #,##0.00\ &quot;€&quot;_-;_-* &quot;-&quot;??\ &quot;€&quot;_-;_-@_-"/>
    <numFmt numFmtId="164" formatCode="#,##0.00\ &quot;€&quot;"/>
    <numFmt numFmtId="165" formatCode="#,##0.00_ ;[Red]\-#,##0.00\ "/>
    <numFmt numFmtId="166" formatCode="dd/mm/yy;@"/>
    <numFmt numFmtId="167" formatCode="0.00_ ;[Red]\-0.00\ "/>
  </numFmts>
  <fonts count="85" x14ac:knownFonts="1">
    <font>
      <sz val="10"/>
      <name val="Arial"/>
    </font>
    <font>
      <sz val="10"/>
      <name val="Arial"/>
      <family val="2"/>
    </font>
    <font>
      <sz val="8"/>
      <name val="Arial"/>
      <family val="2"/>
    </font>
    <font>
      <b/>
      <sz val="10"/>
      <name val="Arial"/>
      <family val="2"/>
    </font>
    <font>
      <sz val="10"/>
      <name val="Arial"/>
      <family val="2"/>
    </font>
    <font>
      <sz val="10"/>
      <color indexed="12"/>
      <name val="Arial"/>
      <family val="2"/>
    </font>
    <font>
      <sz val="10"/>
      <color indexed="12"/>
      <name val="Arial"/>
      <family val="2"/>
    </font>
    <font>
      <u/>
      <sz val="10"/>
      <color indexed="12"/>
      <name val="Arial"/>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10"/>
      <name val="Arial"/>
      <family val="2"/>
    </font>
    <font>
      <sz val="14"/>
      <name val="Arial"/>
      <family val="2"/>
    </font>
    <font>
      <b/>
      <sz val="10"/>
      <name val="Arial"/>
      <family val="2"/>
    </font>
    <font>
      <sz val="10"/>
      <name val="Arial"/>
      <family val="2"/>
    </font>
    <font>
      <b/>
      <sz val="12"/>
      <name val="Arial"/>
      <family val="2"/>
    </font>
    <font>
      <sz val="10"/>
      <name val="Arial"/>
      <family val="2"/>
    </font>
    <font>
      <b/>
      <sz val="10"/>
      <color indexed="10"/>
      <name val="Arial"/>
      <family val="2"/>
    </font>
    <font>
      <sz val="10"/>
      <name val="Arial"/>
      <family val="2"/>
    </font>
    <font>
      <sz val="10"/>
      <color indexed="8"/>
      <name val="Arial"/>
      <family val="2"/>
    </font>
    <font>
      <sz val="10"/>
      <name val="Arial"/>
      <family val="2"/>
    </font>
    <font>
      <b/>
      <sz val="10"/>
      <color indexed="8"/>
      <name val="Arial"/>
      <family val="2"/>
    </font>
    <font>
      <sz val="9"/>
      <name val="Arial"/>
      <family val="2"/>
    </font>
    <font>
      <sz val="8"/>
      <name val="Arial"/>
      <family val="2"/>
    </font>
    <font>
      <sz val="8"/>
      <color indexed="8"/>
      <name val="Arial"/>
      <family val="2"/>
    </font>
    <font>
      <b/>
      <sz val="16"/>
      <name val="Arial"/>
      <family val="2"/>
    </font>
    <font>
      <b/>
      <sz val="8"/>
      <name val="Arial"/>
      <family val="2"/>
    </font>
    <font>
      <sz val="8"/>
      <color indexed="55"/>
      <name val="Arial"/>
      <family val="2"/>
    </font>
    <font>
      <u/>
      <sz val="9"/>
      <name val="Arial"/>
      <family val="2"/>
    </font>
    <font>
      <b/>
      <sz val="12"/>
      <color indexed="9"/>
      <name val="Arial"/>
      <family val="2"/>
    </font>
    <font>
      <sz val="10"/>
      <color indexed="9"/>
      <name val="Arial"/>
      <family val="2"/>
    </font>
    <font>
      <sz val="8"/>
      <color indexed="9"/>
      <name val="Arial"/>
      <family val="2"/>
    </font>
    <font>
      <b/>
      <sz val="10"/>
      <color indexed="9"/>
      <name val="Arial"/>
      <family val="2"/>
    </font>
    <font>
      <sz val="10"/>
      <color indexed="9"/>
      <name val="Arial"/>
      <family val="2"/>
    </font>
    <font>
      <sz val="11"/>
      <name val="Arial"/>
      <family val="2"/>
    </font>
    <font>
      <b/>
      <sz val="10"/>
      <color indexed="12"/>
      <name val="Arial"/>
      <family val="2"/>
    </font>
    <font>
      <u/>
      <sz val="8"/>
      <color indexed="13"/>
      <name val="Arial"/>
      <family val="2"/>
    </font>
    <font>
      <b/>
      <sz val="12"/>
      <color indexed="9"/>
      <name val="Arial"/>
      <family val="2"/>
    </font>
    <font>
      <u/>
      <sz val="10"/>
      <name val="Arial"/>
      <family val="2"/>
    </font>
    <font>
      <u/>
      <sz val="8"/>
      <name val="Arial"/>
      <family val="2"/>
    </font>
    <font>
      <u/>
      <sz val="9"/>
      <color indexed="9"/>
      <name val="Arial"/>
      <family val="2"/>
    </font>
    <font>
      <sz val="14"/>
      <color indexed="9"/>
      <name val="Arial"/>
      <family val="2"/>
    </font>
    <font>
      <sz val="8"/>
      <color indexed="9"/>
      <name val="Arial"/>
      <family val="2"/>
    </font>
    <font>
      <sz val="8"/>
      <color indexed="12"/>
      <name val="Arial"/>
      <family val="2"/>
    </font>
    <font>
      <b/>
      <u/>
      <sz val="8"/>
      <color indexed="9"/>
      <name val="Arial"/>
      <family val="2"/>
    </font>
    <font>
      <b/>
      <sz val="8"/>
      <color indexed="9"/>
      <name val="Arial"/>
      <family val="2"/>
    </font>
    <font>
      <b/>
      <u/>
      <sz val="10"/>
      <name val="Arial"/>
      <family val="2"/>
    </font>
    <font>
      <sz val="10"/>
      <color indexed="10"/>
      <name val="Arial"/>
      <family val="2"/>
    </font>
    <font>
      <sz val="12"/>
      <name val="Arial"/>
      <family val="2"/>
    </font>
    <font>
      <b/>
      <sz val="16"/>
      <name val="Arial"/>
      <family val="2"/>
    </font>
    <font>
      <sz val="9"/>
      <color indexed="8"/>
      <name val="Arial"/>
      <family val="2"/>
    </font>
    <font>
      <u/>
      <sz val="8"/>
      <color indexed="9"/>
      <name val="Arial"/>
      <family val="2"/>
    </font>
    <font>
      <b/>
      <sz val="8"/>
      <color indexed="10"/>
      <name val="Arial"/>
      <family val="2"/>
    </font>
    <font>
      <sz val="8"/>
      <name val="Calibri"/>
      <family val="2"/>
    </font>
    <font>
      <b/>
      <sz val="12"/>
      <name val="Arial"/>
      <family val="2"/>
    </font>
    <font>
      <sz val="8"/>
      <color indexed="13"/>
      <name val="Arial"/>
      <family val="2"/>
    </font>
    <font>
      <sz val="16"/>
      <name val="Arial"/>
      <family val="2"/>
    </font>
    <font>
      <b/>
      <sz val="16"/>
      <color indexed="9"/>
      <name val="Arial"/>
      <family val="2"/>
    </font>
    <font>
      <i/>
      <sz val="10"/>
      <name val="Arial"/>
      <family val="2"/>
    </font>
    <font>
      <i/>
      <sz val="8"/>
      <color indexed="9"/>
      <name val="Arial"/>
      <family val="2"/>
    </font>
    <font>
      <b/>
      <sz val="9"/>
      <name val="Arial"/>
      <family val="2"/>
    </font>
    <font>
      <sz val="9"/>
      <name val="Arial"/>
      <family val="2"/>
    </font>
    <font>
      <i/>
      <sz val="9"/>
      <name val="Arial"/>
      <family val="2"/>
    </font>
    <font>
      <b/>
      <sz val="10"/>
      <color indexed="10"/>
      <name val="Arial"/>
      <family val="2"/>
    </font>
    <font>
      <b/>
      <u/>
      <sz val="8"/>
      <color indexed="13"/>
      <name val="Arial"/>
      <family val="2"/>
    </font>
    <font>
      <b/>
      <sz val="9"/>
      <color indexed="10"/>
      <name val="Arial"/>
      <family val="2"/>
    </font>
    <font>
      <b/>
      <sz val="10"/>
      <color rgb="FFFF0000"/>
      <name val="Arial"/>
      <family val="2"/>
    </font>
    <font>
      <sz val="8"/>
      <color theme="0"/>
      <name val="Arial"/>
      <family val="2"/>
    </font>
    <font>
      <b/>
      <u/>
      <sz val="8"/>
      <color theme="0"/>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41"/>
        <bgColor indexed="64"/>
      </patternFill>
    </fill>
    <fill>
      <patternFill patternType="solid">
        <fgColor indexed="8"/>
        <bgColor indexed="64"/>
      </patternFill>
    </fill>
    <fill>
      <patternFill patternType="solid">
        <fgColor indexed="48"/>
        <bgColor indexed="64"/>
      </patternFill>
    </fill>
    <fill>
      <patternFill patternType="solid">
        <fgColor indexed="9"/>
        <bgColor indexed="64"/>
      </patternFill>
    </fill>
    <fill>
      <patternFill patternType="solid">
        <fgColor indexed="43"/>
        <bgColor indexed="64"/>
      </patternFill>
    </fill>
    <fill>
      <patternFill patternType="solid">
        <fgColor indexed="63"/>
        <bgColor indexed="64"/>
      </patternFill>
    </fill>
    <fill>
      <patternFill patternType="solid">
        <fgColor indexed="53"/>
        <bgColor indexed="64"/>
      </patternFill>
    </fill>
    <fill>
      <patternFill patternType="solid">
        <fgColor indexed="57"/>
        <bgColor indexed="64"/>
      </patternFill>
    </fill>
    <fill>
      <patternFill patternType="solid">
        <fgColor theme="0"/>
        <bgColor indexed="64"/>
      </patternFill>
    </fill>
  </fills>
  <borders count="4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right style="thin">
        <color indexed="63"/>
      </right>
      <top/>
      <bottom style="thin">
        <color indexed="63"/>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3"/>
      </right>
      <top/>
      <bottom/>
      <diagonal/>
    </border>
    <border>
      <left style="thin">
        <color indexed="63"/>
      </left>
      <right/>
      <top style="thin">
        <color indexed="64"/>
      </top>
      <bottom/>
      <diagonal/>
    </border>
    <border>
      <left/>
      <right style="thin">
        <color indexed="63"/>
      </right>
      <top style="thin">
        <color indexed="64"/>
      </top>
      <bottom/>
      <diagonal/>
    </border>
    <border>
      <left/>
      <right style="thin">
        <color indexed="63"/>
      </right>
      <top/>
      <bottom style="thin">
        <color indexed="64"/>
      </bottom>
      <diagonal/>
    </border>
    <border>
      <left style="thin">
        <color indexed="63"/>
      </left>
      <right/>
      <top/>
      <bottom style="thin">
        <color indexed="64"/>
      </bottom>
      <diagonal/>
    </border>
    <border>
      <left style="thin">
        <color indexed="63"/>
      </left>
      <right/>
      <top/>
      <bottom/>
      <diagonal/>
    </border>
    <border>
      <left style="thin">
        <color indexed="63"/>
      </left>
      <right/>
      <top/>
      <bottom style="thin">
        <color indexed="63"/>
      </bottom>
      <diagonal/>
    </border>
    <border>
      <left/>
      <right/>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style="thin">
        <color indexed="64"/>
      </left>
      <right/>
      <top style="thin">
        <color indexed="63"/>
      </top>
      <bottom/>
      <diagonal/>
    </border>
    <border>
      <left/>
      <right style="thin">
        <color indexed="64"/>
      </right>
      <top style="thin">
        <color indexed="63"/>
      </top>
      <bottom/>
      <diagonal/>
    </border>
    <border>
      <left style="thin">
        <color indexed="63"/>
      </left>
      <right style="thin">
        <color indexed="63"/>
      </right>
      <top/>
      <bottom style="thin">
        <color indexed="63"/>
      </bottom>
      <diagonal/>
    </border>
    <border>
      <left style="thin">
        <color indexed="64"/>
      </left>
      <right/>
      <top style="thin">
        <color indexed="63"/>
      </top>
      <bottom style="thin">
        <color indexed="64"/>
      </bottom>
      <diagonal/>
    </border>
    <border>
      <left/>
      <right style="thin">
        <color indexed="64"/>
      </right>
      <top style="thin">
        <color indexed="63"/>
      </top>
      <bottom style="thin">
        <color indexed="64"/>
      </bottom>
      <diagonal/>
    </border>
  </borders>
  <cellStyleXfs count="51">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20" borderId="1" applyNumberFormat="0" applyAlignment="0" applyProtection="0"/>
    <xf numFmtId="0" fontId="12" fillId="20" borderId="2" applyNumberFormat="0" applyAlignment="0" applyProtection="0"/>
    <xf numFmtId="0" fontId="13" fillId="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44" fontId="4" fillId="0" borderId="0" applyFont="0" applyFill="0" applyBorder="0" applyAlignment="0" applyProtection="0"/>
    <xf numFmtId="0" fontId="16" fillId="4" borderId="0" applyNumberFormat="0" applyBorder="0" applyAlignment="0" applyProtection="0"/>
    <xf numFmtId="0" fontId="7" fillId="0" borderId="0" applyNumberFormat="0" applyFill="0" applyBorder="0" applyAlignment="0" applyProtection="0">
      <alignment vertical="top"/>
      <protection locked="0"/>
    </xf>
    <xf numFmtId="0" fontId="17" fillId="21" borderId="0" applyNumberFormat="0" applyBorder="0" applyAlignment="0" applyProtection="0"/>
    <xf numFmtId="0" fontId="9" fillId="22" borderId="4" applyNumberFormat="0" applyFont="0" applyAlignment="0" applyProtection="0"/>
    <xf numFmtId="0" fontId="18" fillId="3" borderId="0" applyNumberFormat="0" applyBorder="0" applyAlignment="0" applyProtection="0"/>
    <xf numFmtId="0" fontId="4" fillId="0" borderId="0"/>
    <xf numFmtId="0" fontId="9" fillId="0" borderId="0"/>
    <xf numFmtId="0" fontId="9" fillId="0" borderId="0"/>
    <xf numFmtId="0" fontId="9" fillId="0" borderId="0"/>
    <xf numFmtId="0" fontId="9" fillId="0" borderId="0"/>
    <xf numFmtId="0" fontId="4" fillId="0" borderId="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44" fontId="4" fillId="0" borderId="0" applyFont="0" applyFill="0" applyBorder="0" applyAlignment="0" applyProtection="0"/>
    <xf numFmtId="0" fontId="24" fillId="0" borderId="0" applyNumberFormat="0" applyFill="0" applyBorder="0" applyAlignment="0" applyProtection="0"/>
    <xf numFmtId="0" fontId="25" fillId="23" borderId="9" applyNumberFormat="0" applyAlignment="0" applyProtection="0"/>
  </cellStyleXfs>
  <cellXfs count="577">
    <xf numFmtId="0" fontId="0" fillId="0" borderId="0" xfId="0"/>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left" vertical="center"/>
    </xf>
    <xf numFmtId="0" fontId="26" fillId="24" borderId="0" xfId="37" applyFont="1" applyFill="1" applyAlignment="1" applyProtection="1">
      <alignment vertical="center"/>
      <protection hidden="1"/>
    </xf>
    <xf numFmtId="0" fontId="26" fillId="24" borderId="0" xfId="37" applyFont="1" applyFill="1" applyAlignment="1" applyProtection="1">
      <alignment horizontal="center" vertical="center"/>
      <protection hidden="1"/>
    </xf>
    <xf numFmtId="0" fontId="26" fillId="24" borderId="10" xfId="37" applyFont="1" applyFill="1" applyBorder="1" applyAlignment="1" applyProtection="1">
      <alignment horizontal="center" vertical="center"/>
      <protection hidden="1"/>
    </xf>
    <xf numFmtId="0" fontId="35" fillId="24" borderId="0" xfId="37" applyFont="1" applyFill="1" applyAlignment="1" applyProtection="1">
      <alignment vertical="center"/>
      <protection hidden="1"/>
    </xf>
    <xf numFmtId="0" fontId="35" fillId="24" borderId="0" xfId="37" applyFont="1" applyFill="1" applyAlignment="1" applyProtection="1">
      <alignment horizontal="center" vertical="center"/>
      <protection hidden="1"/>
    </xf>
    <xf numFmtId="0" fontId="35" fillId="24" borderId="10" xfId="37" applyFont="1" applyFill="1" applyBorder="1" applyAlignment="1" applyProtection="1">
      <alignment horizontal="center" vertical="center"/>
      <protection hidden="1"/>
    </xf>
    <xf numFmtId="0" fontId="3" fillId="25" borderId="0" xfId="0" applyFont="1" applyFill="1" applyAlignment="1">
      <alignment horizontal="left" vertical="center"/>
    </xf>
    <xf numFmtId="0" fontId="3" fillId="25" borderId="0" xfId="38" applyNumberFormat="1" applyFont="1" applyFill="1" applyAlignment="1">
      <alignment horizontal="left" vertical="center"/>
    </xf>
    <xf numFmtId="0" fontId="37" fillId="0" borderId="0" xfId="38" applyFont="1" applyAlignment="1">
      <alignment vertical="center"/>
    </xf>
    <xf numFmtId="0" fontId="26" fillId="0" borderId="0" xfId="38" applyFont="1" applyAlignment="1">
      <alignment vertical="center"/>
    </xf>
    <xf numFmtId="0" fontId="26" fillId="0" borderId="0" xfId="38" applyNumberFormat="1" applyFont="1" applyAlignment="1">
      <alignment horizontal="left" vertical="center"/>
    </xf>
    <xf numFmtId="0" fontId="26" fillId="0" borderId="0" xfId="38" applyFont="1" applyFill="1" applyAlignment="1" applyProtection="1">
      <alignment vertical="center"/>
    </xf>
    <xf numFmtId="8" fontId="26" fillId="0" borderId="0" xfId="38" applyNumberFormat="1" applyFont="1" applyFill="1" applyAlignment="1" applyProtection="1">
      <alignment horizontal="right" vertical="center"/>
    </xf>
    <xf numFmtId="8" fontId="0" fillId="0" borderId="0" xfId="0" applyNumberFormat="1" applyAlignment="1">
      <alignment horizontal="right"/>
    </xf>
    <xf numFmtId="0" fontId="40" fillId="24" borderId="0" xfId="37" applyFont="1" applyFill="1" applyAlignment="1" applyProtection="1">
      <alignment vertical="center"/>
      <protection hidden="1"/>
    </xf>
    <xf numFmtId="0" fontId="40" fillId="24" borderId="0" xfId="37" applyFont="1" applyFill="1" applyAlignment="1" applyProtection="1">
      <alignment horizontal="center" vertical="center"/>
      <protection hidden="1"/>
    </xf>
    <xf numFmtId="0" fontId="26" fillId="24" borderId="0" xfId="37" applyFont="1" applyFill="1" applyBorder="1" applyAlignment="1" applyProtection="1">
      <alignment vertical="center"/>
      <protection hidden="1"/>
    </xf>
    <xf numFmtId="0" fontId="26" fillId="24" borderId="0" xfId="37" applyFont="1" applyFill="1" applyBorder="1" applyAlignment="1" applyProtection="1">
      <alignment horizontal="center" vertical="center"/>
      <protection hidden="1"/>
    </xf>
    <xf numFmtId="0" fontId="42" fillId="26" borderId="11" xfId="41" applyFont="1" applyFill="1" applyBorder="1" applyAlignment="1">
      <alignment vertical="center" wrapText="1"/>
    </xf>
    <xf numFmtId="0" fontId="42" fillId="26" borderId="11" xfId="41" applyFont="1" applyFill="1" applyBorder="1" applyAlignment="1">
      <alignment horizontal="right" vertical="center" wrapText="1"/>
    </xf>
    <xf numFmtId="0" fontId="39" fillId="0" borderId="0" xfId="41" applyFont="1" applyAlignment="1">
      <alignment horizontal="center" vertical="center" wrapText="1"/>
    </xf>
    <xf numFmtId="0" fontId="42" fillId="27" borderId="12" xfId="41" applyFont="1" applyFill="1" applyBorder="1" applyAlignment="1">
      <alignment horizontal="center" vertical="center" wrapText="1"/>
    </xf>
    <xf numFmtId="0" fontId="4" fillId="0" borderId="0" xfId="41"/>
    <xf numFmtId="0" fontId="42" fillId="0" borderId="12" xfId="41" applyFont="1" applyBorder="1" applyAlignment="1">
      <alignment horizontal="center" vertical="center"/>
    </xf>
    <xf numFmtId="165" fontId="39" fillId="0" borderId="12" xfId="41" applyNumberFormat="1" applyFont="1" applyBorder="1" applyAlignment="1">
      <alignment horizontal="left" vertical="center"/>
    </xf>
    <xf numFmtId="165" fontId="39" fillId="0" borderId="12" xfId="41" applyNumberFormat="1" applyFont="1" applyBorder="1" applyAlignment="1">
      <alignment horizontal="right" vertical="center"/>
    </xf>
    <xf numFmtId="0" fontId="39" fillId="0" borderId="0" xfId="41" applyFont="1" applyAlignment="1">
      <alignment horizontal="center" vertical="center"/>
    </xf>
    <xf numFmtId="0" fontId="39" fillId="27" borderId="12" xfId="41" applyFont="1" applyFill="1" applyBorder="1" applyAlignment="1">
      <alignment horizontal="center" vertical="center"/>
    </xf>
    <xf numFmtId="0" fontId="42" fillId="0" borderId="0" xfId="41" applyFont="1" applyBorder="1" applyAlignment="1">
      <alignment horizontal="center" vertical="center"/>
    </xf>
    <xf numFmtId="165" fontId="39" fillId="0" borderId="0" xfId="41" applyNumberFormat="1" applyFont="1" applyBorder="1" applyAlignment="1">
      <alignment horizontal="left" vertical="center"/>
    </xf>
    <xf numFmtId="165" fontId="39" fillId="0" borderId="0" xfId="41" applyNumberFormat="1" applyFont="1" applyBorder="1" applyAlignment="1">
      <alignment horizontal="right" vertical="center"/>
    </xf>
    <xf numFmtId="0" fontId="39" fillId="0" borderId="0" xfId="41" applyFont="1" applyFill="1" applyBorder="1" applyAlignment="1">
      <alignment horizontal="center" vertical="center"/>
    </xf>
    <xf numFmtId="0" fontId="39" fillId="0" borderId="0" xfId="41" applyFont="1" applyAlignment="1">
      <alignment horizontal="left" vertical="center"/>
    </xf>
    <xf numFmtId="165" fontId="39" fillId="0" borderId="0" xfId="41" applyNumberFormat="1" applyFont="1" applyFill="1" applyBorder="1" applyAlignment="1" applyProtection="1">
      <alignment horizontal="right" vertical="center"/>
      <protection locked="0"/>
    </xf>
    <xf numFmtId="0" fontId="39" fillId="0" borderId="0" xfId="41" applyFont="1" applyAlignment="1">
      <alignment horizontal="right" vertical="center"/>
    </xf>
    <xf numFmtId="165" fontId="39" fillId="0" borderId="0" xfId="41" applyNumberFormat="1" applyFont="1" applyAlignment="1">
      <alignment horizontal="center" vertical="center"/>
    </xf>
    <xf numFmtId="0" fontId="43" fillId="0" borderId="0" xfId="41" applyFont="1" applyAlignment="1">
      <alignment horizontal="center" vertical="center"/>
    </xf>
    <xf numFmtId="0" fontId="35" fillId="24" borderId="0" xfId="37" applyFont="1" applyFill="1" applyAlignment="1" applyProtection="1">
      <alignment horizontal="left" vertical="center"/>
      <protection hidden="1"/>
    </xf>
    <xf numFmtId="0" fontId="37" fillId="24" borderId="0" xfId="37" applyFont="1" applyFill="1" applyAlignment="1" applyProtection="1">
      <alignment vertical="center"/>
      <protection hidden="1"/>
    </xf>
    <xf numFmtId="0" fontId="37" fillId="24" borderId="0" xfId="37" applyFont="1" applyFill="1" applyBorder="1" applyAlignment="1" applyProtection="1">
      <alignment vertical="center"/>
      <protection hidden="1"/>
    </xf>
    <xf numFmtId="0" fontId="37" fillId="24" borderId="0" xfId="37" applyFont="1" applyFill="1" applyAlignment="1" applyProtection="1">
      <alignment horizontal="center" vertical="center"/>
      <protection hidden="1"/>
    </xf>
    <xf numFmtId="0" fontId="35" fillId="24" borderId="0" xfId="37" applyFont="1" applyFill="1" applyBorder="1" applyAlignment="1" applyProtection="1">
      <alignment horizontal="center" vertical="center"/>
      <protection hidden="1"/>
    </xf>
    <xf numFmtId="0" fontId="35" fillId="24" borderId="0" xfId="37" applyFont="1" applyFill="1" applyBorder="1" applyAlignment="1" applyProtection="1">
      <alignment vertical="center"/>
      <protection hidden="1"/>
    </xf>
    <xf numFmtId="0" fontId="47" fillId="28" borderId="0" xfId="0" applyNumberFormat="1" applyFont="1" applyFill="1" applyBorder="1" applyAlignment="1" applyProtection="1">
      <alignment vertical="center"/>
      <protection hidden="1"/>
    </xf>
    <xf numFmtId="0" fontId="47" fillId="28" borderId="0" xfId="0" applyNumberFormat="1" applyFont="1" applyFill="1" applyBorder="1" applyAlignment="1" applyProtection="1">
      <alignment horizontal="right" vertical="center"/>
      <protection hidden="1"/>
    </xf>
    <xf numFmtId="0" fontId="47" fillId="28" borderId="0" xfId="0" applyNumberFormat="1" applyFont="1" applyFill="1" applyBorder="1" applyAlignment="1" applyProtection="1">
      <alignment horizontal="center" vertical="center"/>
      <protection hidden="1"/>
    </xf>
    <xf numFmtId="0" fontId="44" fillId="24" borderId="0" xfId="0" applyFont="1" applyFill="1" applyBorder="1" applyAlignment="1" applyProtection="1">
      <protection hidden="1"/>
    </xf>
    <xf numFmtId="0" fontId="44" fillId="24" borderId="0" xfId="0" applyFont="1" applyFill="1" applyBorder="1" applyAlignment="1" applyProtection="1">
      <alignment horizontal="center"/>
      <protection hidden="1"/>
    </xf>
    <xf numFmtId="0" fontId="38" fillId="24" borderId="0" xfId="0" applyFont="1" applyFill="1" applyBorder="1" applyAlignment="1" applyProtection="1">
      <alignment vertical="top"/>
      <protection hidden="1"/>
    </xf>
    <xf numFmtId="0" fontId="44" fillId="24" borderId="0" xfId="0" applyFont="1" applyFill="1" applyBorder="1" applyAlignment="1" applyProtection="1">
      <alignment vertical="top"/>
      <protection hidden="1"/>
    </xf>
    <xf numFmtId="0" fontId="44" fillId="24" borderId="0" xfId="0" applyFont="1" applyFill="1" applyBorder="1" applyAlignment="1" applyProtection="1">
      <alignment horizontal="center" vertical="top"/>
      <protection hidden="1"/>
    </xf>
    <xf numFmtId="0" fontId="41" fillId="24" borderId="0" xfId="0" applyFont="1" applyFill="1" applyAlignment="1" applyProtection="1">
      <alignment vertical="center"/>
      <protection hidden="1"/>
    </xf>
    <xf numFmtId="0" fontId="28" fillId="24" borderId="0" xfId="0" applyFont="1" applyFill="1" applyAlignment="1" applyProtection="1">
      <alignment vertical="center"/>
      <protection hidden="1"/>
    </xf>
    <xf numFmtId="0" fontId="28" fillId="24" borderId="0" xfId="0" applyFont="1" applyFill="1" applyAlignment="1" applyProtection="1">
      <alignment horizontal="center" vertical="center"/>
      <protection hidden="1"/>
    </xf>
    <xf numFmtId="0" fontId="50" fillId="24" borderId="0" xfId="0" applyFont="1" applyFill="1" applyAlignment="1" applyProtection="1">
      <alignment vertical="center"/>
      <protection hidden="1"/>
    </xf>
    <xf numFmtId="0" fontId="30" fillId="24" borderId="0" xfId="0" applyFont="1" applyFill="1" applyAlignment="1" applyProtection="1">
      <alignment vertical="center"/>
      <protection hidden="1"/>
    </xf>
    <xf numFmtId="0" fontId="30" fillId="24" borderId="0" xfId="0" applyFont="1" applyFill="1" applyAlignment="1" applyProtection="1">
      <alignment horizontal="center" vertical="center"/>
      <protection hidden="1"/>
    </xf>
    <xf numFmtId="0" fontId="29" fillId="24" borderId="0" xfId="0" applyFont="1" applyFill="1" applyAlignment="1" applyProtection="1">
      <alignment vertical="center"/>
      <protection hidden="1"/>
    </xf>
    <xf numFmtId="0" fontId="45" fillId="29" borderId="0" xfId="0" applyFont="1" applyFill="1" applyAlignment="1" applyProtection="1">
      <alignment vertical="center"/>
      <protection hidden="1"/>
    </xf>
    <xf numFmtId="0" fontId="46" fillId="29" borderId="0" xfId="0" applyFont="1" applyFill="1" applyAlignment="1" applyProtection="1">
      <alignment vertical="center"/>
      <protection hidden="1"/>
    </xf>
    <xf numFmtId="0" fontId="46" fillId="29" borderId="0" xfId="0" applyFont="1" applyFill="1" applyAlignment="1" applyProtection="1">
      <alignment horizontal="center" vertical="center"/>
      <protection hidden="1"/>
    </xf>
    <xf numFmtId="0" fontId="32" fillId="24" borderId="0" xfId="0" applyFont="1" applyFill="1" applyAlignment="1" applyProtection="1">
      <alignment vertical="center"/>
      <protection hidden="1"/>
    </xf>
    <xf numFmtId="0" fontId="32" fillId="24" borderId="0" xfId="0" applyFont="1" applyFill="1" applyAlignment="1" applyProtection="1">
      <alignment horizontal="center" vertical="center"/>
      <protection hidden="1"/>
    </xf>
    <xf numFmtId="0" fontId="27" fillId="24" borderId="0" xfId="0" applyFont="1" applyFill="1" applyAlignment="1" applyProtection="1">
      <alignment horizontal="center" vertical="center"/>
      <protection hidden="1"/>
    </xf>
    <xf numFmtId="0" fontId="27" fillId="24" borderId="0" xfId="0" applyFont="1" applyFill="1" applyAlignment="1" applyProtection="1">
      <alignment vertical="center"/>
      <protection hidden="1"/>
    </xf>
    <xf numFmtId="0" fontId="27" fillId="24" borderId="0" xfId="0" applyFont="1" applyFill="1" applyAlignment="1" applyProtection="1">
      <alignment horizontal="left" vertical="center"/>
      <protection hidden="1"/>
    </xf>
    <xf numFmtId="0" fontId="33" fillId="24" borderId="0" xfId="0" applyFont="1" applyFill="1" applyAlignment="1" applyProtection="1">
      <alignment horizontal="left" vertical="center"/>
      <protection hidden="1"/>
    </xf>
    <xf numFmtId="0" fontId="34" fillId="24" borderId="0" xfId="0" applyFont="1" applyFill="1" applyAlignment="1" applyProtection="1">
      <alignment horizontal="left" vertical="center"/>
      <protection hidden="1"/>
    </xf>
    <xf numFmtId="0" fontId="34" fillId="24" borderId="0" xfId="0" applyFont="1" applyFill="1" applyAlignment="1" applyProtection="1">
      <alignment vertical="center"/>
      <protection hidden="1"/>
    </xf>
    <xf numFmtId="0" fontId="34" fillId="24" borderId="0" xfId="0" applyFont="1" applyFill="1" applyAlignment="1" applyProtection="1">
      <alignment horizontal="center" vertical="center"/>
      <protection hidden="1"/>
    </xf>
    <xf numFmtId="0" fontId="33" fillId="24" borderId="0" xfId="0" applyFont="1" applyFill="1" applyAlignment="1" applyProtection="1">
      <alignment vertical="center"/>
      <protection hidden="1"/>
    </xf>
    <xf numFmtId="0" fontId="3" fillId="24"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27" fillId="24" borderId="10" xfId="0" applyFont="1" applyFill="1" applyBorder="1" applyAlignment="1" applyProtection="1">
      <alignment horizontal="center" vertical="center"/>
      <protection hidden="1"/>
    </xf>
    <xf numFmtId="8" fontId="1" fillId="24" borderId="0" xfId="0" applyNumberFormat="1" applyFont="1" applyFill="1" applyBorder="1" applyAlignment="1" applyProtection="1">
      <alignment horizontal="right" vertical="center"/>
      <protection hidden="1"/>
    </xf>
    <xf numFmtId="0" fontId="27" fillId="24" borderId="0" xfId="0" applyFont="1" applyFill="1" applyBorder="1" applyAlignment="1" applyProtection="1">
      <alignment horizontal="center" vertical="center"/>
      <protection hidden="1"/>
    </xf>
    <xf numFmtId="0" fontId="36" fillId="24" borderId="0" xfId="0" applyFont="1" applyFill="1" applyBorder="1" applyAlignment="1" applyProtection="1">
      <alignment vertical="center"/>
      <protection hidden="1"/>
    </xf>
    <xf numFmtId="0" fontId="36" fillId="24" borderId="0" xfId="0" applyFont="1" applyFill="1" applyBorder="1" applyAlignment="1" applyProtection="1">
      <alignment horizontal="center" vertical="center"/>
      <protection hidden="1"/>
    </xf>
    <xf numFmtId="0" fontId="36" fillId="24" borderId="0" xfId="0" applyFont="1" applyFill="1" applyAlignment="1" applyProtection="1">
      <alignment horizontal="center" vertical="center"/>
      <protection hidden="1"/>
    </xf>
    <xf numFmtId="0" fontId="1" fillId="24" borderId="0" xfId="0" applyFont="1" applyFill="1" applyAlignment="1" applyProtection="1">
      <alignment horizontal="center" vertical="center"/>
      <protection hidden="1"/>
    </xf>
    <xf numFmtId="0" fontId="1" fillId="24" borderId="0" xfId="0" applyFont="1" applyFill="1" applyAlignment="1" applyProtection="1">
      <alignment horizontal="left" vertical="center"/>
      <protection hidden="1"/>
    </xf>
    <xf numFmtId="8" fontId="3" fillId="24" borderId="0" xfId="0" applyNumberFormat="1" applyFont="1" applyFill="1" applyAlignment="1" applyProtection="1">
      <alignment horizontal="right" vertical="center"/>
      <protection hidden="1"/>
    </xf>
    <xf numFmtId="0" fontId="3" fillId="24" borderId="0" xfId="0" applyFont="1" applyFill="1" applyAlignment="1" applyProtection="1">
      <alignment horizontal="right" vertical="center"/>
      <protection hidden="1"/>
    </xf>
    <xf numFmtId="0" fontId="4" fillId="24" borderId="0" xfId="0" applyFont="1" applyFill="1" applyAlignment="1" applyProtection="1">
      <alignment vertical="center"/>
      <protection hidden="1"/>
    </xf>
    <xf numFmtId="0" fontId="36" fillId="24" borderId="10" xfId="0" applyFont="1" applyFill="1" applyBorder="1" applyAlignment="1" applyProtection="1">
      <alignment horizontal="center" vertical="center"/>
      <protection hidden="1"/>
    </xf>
    <xf numFmtId="0" fontId="6" fillId="24" borderId="0" xfId="0" applyFont="1" applyFill="1" applyAlignment="1" applyProtection="1">
      <alignment horizontal="left" vertical="center"/>
      <protection hidden="1"/>
    </xf>
    <xf numFmtId="0" fontId="3" fillId="24" borderId="0" xfId="0" applyFont="1" applyFill="1" applyAlignment="1" applyProtection="1">
      <alignment horizontal="center" vertical="center"/>
      <protection hidden="1"/>
    </xf>
    <xf numFmtId="0" fontId="31" fillId="24" borderId="0" xfId="0" applyFont="1" applyFill="1" applyAlignment="1" applyProtection="1">
      <alignment vertical="center"/>
      <protection hidden="1"/>
    </xf>
    <xf numFmtId="0" fontId="53" fillId="29" borderId="0" xfId="0" applyFont="1" applyFill="1" applyAlignment="1" applyProtection="1">
      <alignment vertical="center"/>
      <protection hidden="1"/>
    </xf>
    <xf numFmtId="0" fontId="8" fillId="24" borderId="0" xfId="0" applyFont="1" applyFill="1" applyAlignment="1" applyProtection="1">
      <alignment vertical="center"/>
      <protection hidden="1"/>
    </xf>
    <xf numFmtId="0" fontId="1" fillId="24" borderId="0" xfId="0" applyFont="1" applyFill="1" applyAlignment="1" applyProtection="1">
      <alignment vertical="center"/>
      <protection hidden="1"/>
    </xf>
    <xf numFmtId="0" fontId="1" fillId="24" borderId="10" xfId="0" applyFont="1" applyFill="1" applyBorder="1" applyAlignment="1" applyProtection="1">
      <alignment horizontal="center" vertical="center"/>
      <protection hidden="1"/>
    </xf>
    <xf numFmtId="0" fontId="49" fillId="24" borderId="0" xfId="0" applyFont="1" applyFill="1" applyBorder="1" applyAlignment="1" applyProtection="1">
      <alignment horizontal="center" vertical="center"/>
      <protection hidden="1"/>
    </xf>
    <xf numFmtId="0" fontId="2" fillId="24" borderId="0" xfId="0" applyFont="1" applyFill="1" applyAlignment="1" applyProtection="1">
      <alignment vertical="center"/>
      <protection hidden="1"/>
    </xf>
    <xf numFmtId="0" fontId="51" fillId="30" borderId="0" xfId="0" applyFont="1" applyFill="1" applyAlignment="1" applyProtection="1">
      <alignment horizontal="center" vertical="center"/>
      <protection locked="0" hidden="1"/>
    </xf>
    <xf numFmtId="0" fontId="36" fillId="30" borderId="0" xfId="0" applyFont="1" applyFill="1" applyAlignment="1" applyProtection="1">
      <alignment horizontal="center" vertical="center"/>
      <protection locked="0" hidden="1"/>
    </xf>
    <xf numFmtId="0" fontId="47" fillId="28" borderId="0" xfId="0" applyFont="1" applyFill="1" applyAlignment="1" applyProtection="1">
      <alignment vertical="center"/>
      <protection hidden="1"/>
    </xf>
    <xf numFmtId="8" fontId="36" fillId="24" borderId="0" xfId="0" applyNumberFormat="1" applyFont="1" applyFill="1" applyAlignment="1" applyProtection="1">
      <alignment horizontal="right" vertical="center"/>
      <protection hidden="1"/>
    </xf>
    <xf numFmtId="0" fontId="36" fillId="24" borderId="0" xfId="0" applyFont="1" applyFill="1" applyAlignment="1" applyProtection="1">
      <alignment horizontal="right" vertical="center"/>
      <protection hidden="1"/>
    </xf>
    <xf numFmtId="0" fontId="47" fillId="28" borderId="0" xfId="0" applyFont="1" applyFill="1" applyAlignment="1" applyProtection="1">
      <alignment horizontal="right" vertical="center"/>
      <protection hidden="1"/>
    </xf>
    <xf numFmtId="0" fontId="3" fillId="24" borderId="0" xfId="0" applyFont="1" applyFill="1" applyAlignment="1" applyProtection="1">
      <alignment horizontal="left" vertical="center"/>
      <protection hidden="1"/>
    </xf>
    <xf numFmtId="0" fontId="5" fillId="30" borderId="0" xfId="37" applyFont="1" applyFill="1" applyAlignment="1" applyProtection="1">
      <alignment horizontal="center" vertical="center"/>
      <protection locked="0" hidden="1"/>
    </xf>
    <xf numFmtId="8" fontId="4" fillId="24" borderId="0" xfId="0" applyNumberFormat="1" applyFont="1" applyFill="1" applyAlignment="1" applyProtection="1">
      <alignment horizontal="right" vertical="center"/>
      <protection hidden="1"/>
    </xf>
    <xf numFmtId="0" fontId="42" fillId="26" borderId="11" xfId="36" applyFont="1" applyFill="1" applyBorder="1" applyAlignment="1">
      <alignment vertical="center" wrapText="1"/>
    </xf>
    <xf numFmtId="0" fontId="42" fillId="26" borderId="11" xfId="36" applyFont="1" applyFill="1" applyBorder="1" applyAlignment="1">
      <alignment horizontal="right" vertical="center" wrapText="1"/>
    </xf>
    <xf numFmtId="44" fontId="42" fillId="26" borderId="11" xfId="48" applyFont="1" applyFill="1" applyBorder="1" applyAlignment="1">
      <alignment horizontal="right" vertical="center" wrapText="1"/>
    </xf>
    <xf numFmtId="0" fontId="39" fillId="0" borderId="0" xfId="36" applyFont="1" applyAlignment="1">
      <alignment horizontal="center" vertical="center" wrapText="1"/>
    </xf>
    <xf numFmtId="0" fontId="42" fillId="27" borderId="12" xfId="36" applyFont="1" applyFill="1" applyBorder="1" applyAlignment="1">
      <alignment horizontal="center" vertical="center" wrapText="1"/>
    </xf>
    <xf numFmtId="0" fontId="42" fillId="0" borderId="12" xfId="36" applyFont="1" applyBorder="1" applyAlignment="1">
      <alignment horizontal="center" vertical="center"/>
    </xf>
    <xf numFmtId="165" fontId="39" fillId="31" borderId="12" xfId="36" applyNumberFormat="1" applyFont="1" applyFill="1" applyBorder="1" applyAlignment="1">
      <alignment horizontal="left" vertical="center"/>
    </xf>
    <xf numFmtId="165" fontId="39" fillId="31" borderId="12" xfId="36" applyNumberFormat="1" applyFont="1" applyFill="1" applyBorder="1" applyAlignment="1">
      <alignment horizontal="right" vertical="center"/>
    </xf>
    <xf numFmtId="165" fontId="39" fillId="0" borderId="12" xfId="36" applyNumberFormat="1" applyFont="1" applyBorder="1" applyAlignment="1">
      <alignment horizontal="right" vertical="center"/>
    </xf>
    <xf numFmtId="0" fontId="39" fillId="0" borderId="0" xfId="36" applyFont="1" applyAlignment="1">
      <alignment horizontal="center" vertical="center"/>
    </xf>
    <xf numFmtId="0" fontId="39" fillId="27" borderId="12" xfId="36" applyFont="1" applyFill="1" applyBorder="1" applyAlignment="1">
      <alignment horizontal="center" vertical="center"/>
    </xf>
    <xf numFmtId="165" fontId="39" fillId="0" borderId="12" xfId="36" applyNumberFormat="1" applyFont="1" applyBorder="1" applyAlignment="1">
      <alignment horizontal="left" vertical="center"/>
    </xf>
    <xf numFmtId="0" fontId="42" fillId="0" borderId="0" xfId="36" applyFont="1" applyBorder="1" applyAlignment="1">
      <alignment horizontal="center" vertical="center"/>
    </xf>
    <xf numFmtId="165" fontId="39" fillId="0" borderId="0" xfId="36" applyNumberFormat="1" applyFont="1" applyBorder="1" applyAlignment="1">
      <alignment horizontal="left" vertical="center"/>
    </xf>
    <xf numFmtId="165" fontId="39" fillId="0" borderId="0" xfId="36" applyNumberFormat="1" applyFont="1" applyBorder="1" applyAlignment="1">
      <alignment horizontal="right" vertical="center"/>
    </xf>
    <xf numFmtId="0" fontId="39" fillId="0" borderId="0" xfId="36" applyFont="1" applyFill="1" applyBorder="1" applyAlignment="1">
      <alignment horizontal="center" vertical="center"/>
    </xf>
    <xf numFmtId="0" fontId="39" fillId="0" borderId="0" xfId="36" applyFont="1" applyAlignment="1">
      <alignment horizontal="left" vertical="center"/>
    </xf>
    <xf numFmtId="165" fontId="39" fillId="0" borderId="0" xfId="36" applyNumberFormat="1" applyFont="1" applyFill="1" applyBorder="1" applyAlignment="1" applyProtection="1">
      <alignment horizontal="right" vertical="center"/>
      <protection locked="0"/>
    </xf>
    <xf numFmtId="0" fontId="39" fillId="0" borderId="0" xfId="36" applyFont="1" applyAlignment="1">
      <alignment horizontal="right" vertical="center"/>
    </xf>
    <xf numFmtId="165" fontId="39" fillId="0" borderId="0" xfId="36" applyNumberFormat="1" applyFont="1" applyAlignment="1">
      <alignment horizontal="center" vertical="center"/>
    </xf>
    <xf numFmtId="0" fontId="58" fillId="0" borderId="0" xfId="36" applyFont="1" applyAlignment="1">
      <alignment horizontal="right" vertical="center"/>
    </xf>
    <xf numFmtId="0" fontId="42" fillId="0" borderId="0" xfId="36" applyFont="1" applyAlignment="1">
      <alignment horizontal="center" vertical="center"/>
    </xf>
    <xf numFmtId="0" fontId="39" fillId="0" borderId="0" xfId="36" applyNumberFormat="1" applyFont="1" applyBorder="1" applyAlignment="1">
      <alignment horizontal="center" vertical="center"/>
    </xf>
    <xf numFmtId="165" fontId="39" fillId="0" borderId="0" xfId="36" applyNumberFormat="1" applyFont="1" applyAlignment="1">
      <alignment horizontal="right" vertical="center"/>
    </xf>
    <xf numFmtId="0" fontId="39" fillId="0" borderId="0" xfId="36" applyFont="1" applyAlignment="1">
      <alignment horizontal="left"/>
    </xf>
    <xf numFmtId="0" fontId="39" fillId="0" borderId="0" xfId="36" applyFont="1" applyAlignment="1">
      <alignment horizontal="right"/>
    </xf>
    <xf numFmtId="164" fontId="39" fillId="31" borderId="12" xfId="36" applyNumberFormat="1" applyFont="1" applyFill="1" applyBorder="1" applyAlignment="1">
      <alignment horizontal="right"/>
    </xf>
    <xf numFmtId="0" fontId="39" fillId="0" borderId="0" xfId="36" applyFont="1" applyAlignment="1">
      <alignment horizontal="center"/>
    </xf>
    <xf numFmtId="0" fontId="39" fillId="0" borderId="0" xfId="40" applyFont="1" applyAlignment="1">
      <alignment horizontal="right"/>
    </xf>
    <xf numFmtId="44" fontId="39" fillId="31" borderId="12" xfId="30" applyFont="1" applyFill="1" applyBorder="1" applyAlignment="1">
      <alignment horizontal="right"/>
    </xf>
    <xf numFmtId="0" fontId="3" fillId="0" borderId="0" xfId="36" applyFont="1"/>
    <xf numFmtId="0" fontId="4" fillId="0" borderId="0" xfId="36"/>
    <xf numFmtId="164" fontId="4" fillId="0" borderId="0" xfId="36" applyNumberFormat="1" applyFont="1" applyAlignment="1">
      <alignment horizontal="left"/>
    </xf>
    <xf numFmtId="0" fontId="4" fillId="0" borderId="0" xfId="36" applyFont="1"/>
    <xf numFmtId="8" fontId="36" fillId="24" borderId="0" xfId="0" applyNumberFormat="1" applyFont="1" applyFill="1" applyBorder="1" applyAlignment="1" applyProtection="1">
      <alignment horizontal="right" vertical="center"/>
      <protection hidden="1"/>
    </xf>
    <xf numFmtId="0" fontId="56" fillId="32" borderId="0" xfId="0" applyFont="1" applyFill="1" applyBorder="1" applyAlignment="1" applyProtection="1">
      <protection hidden="1"/>
    </xf>
    <xf numFmtId="0" fontId="55" fillId="32" borderId="0" xfId="0" applyFont="1" applyFill="1" applyBorder="1" applyAlignment="1" applyProtection="1">
      <alignment horizontal="left" vertical="center" wrapText="1"/>
      <protection hidden="1"/>
    </xf>
    <xf numFmtId="0" fontId="56" fillId="32" borderId="0" xfId="0" applyFont="1" applyFill="1" applyBorder="1" applyAlignment="1" applyProtection="1">
      <alignment vertical="top"/>
      <protection hidden="1"/>
    </xf>
    <xf numFmtId="0" fontId="57" fillId="32" borderId="0" xfId="0" applyFont="1" applyFill="1" applyAlignment="1" applyProtection="1">
      <alignment vertical="center"/>
      <protection hidden="1"/>
    </xf>
    <xf numFmtId="0" fontId="58" fillId="32" borderId="0" xfId="0" applyFont="1" applyFill="1" applyAlignment="1" applyProtection="1">
      <alignment horizontal="left" vertical="center" wrapText="1"/>
      <protection hidden="1"/>
    </xf>
    <xf numFmtId="0" fontId="49" fillId="32" borderId="0" xfId="0" applyFont="1" applyFill="1" applyAlignment="1" applyProtection="1">
      <alignment vertical="center"/>
      <protection hidden="1"/>
    </xf>
    <xf numFmtId="0" fontId="58" fillId="32" borderId="0" xfId="0" applyFont="1" applyFill="1" applyAlignment="1" applyProtection="1">
      <alignment vertical="center" wrapText="1"/>
      <protection hidden="1"/>
    </xf>
    <xf numFmtId="0" fontId="58" fillId="32" borderId="0" xfId="0" applyFont="1" applyFill="1" applyAlignment="1" applyProtection="1">
      <alignment vertical="top" wrapText="1"/>
      <protection hidden="1"/>
    </xf>
    <xf numFmtId="0" fontId="48" fillId="32" borderId="0" xfId="0" applyFont="1" applyFill="1" applyAlignment="1" applyProtection="1">
      <alignment vertical="center"/>
      <protection hidden="1"/>
    </xf>
    <xf numFmtId="0" fontId="61" fillId="32" borderId="0" xfId="0" applyFont="1" applyFill="1" applyAlignment="1" applyProtection="1">
      <alignment horizontal="left" vertical="center" wrapText="1"/>
      <protection hidden="1"/>
    </xf>
    <xf numFmtId="0" fontId="49" fillId="32" borderId="0" xfId="0" applyFont="1" applyFill="1" applyAlignment="1" applyProtection="1">
      <alignment horizontal="center" vertical="center"/>
      <protection hidden="1"/>
    </xf>
    <xf numFmtId="8" fontId="26" fillId="24" borderId="0" xfId="0" applyNumberFormat="1" applyFont="1" applyFill="1" applyBorder="1" applyAlignment="1" applyProtection="1">
      <alignment horizontal="right" vertical="center"/>
      <protection hidden="1"/>
    </xf>
    <xf numFmtId="8" fontId="26" fillId="24" borderId="0" xfId="0" applyNumberFormat="1" applyFont="1" applyFill="1" applyAlignment="1" applyProtection="1">
      <alignment horizontal="right" vertical="center"/>
      <protection hidden="1"/>
    </xf>
    <xf numFmtId="0" fontId="4" fillId="24" borderId="0" xfId="40" applyFont="1" applyFill="1" applyAlignment="1" applyProtection="1">
      <alignment horizontal="right" vertical="center"/>
      <protection hidden="1"/>
    </xf>
    <xf numFmtId="0" fontId="39" fillId="24" borderId="0" xfId="0" applyFont="1" applyFill="1" applyBorder="1" applyAlignment="1" applyProtection="1">
      <protection hidden="1"/>
    </xf>
    <xf numFmtId="0" fontId="58" fillId="32" borderId="0" xfId="40" applyFont="1" applyFill="1" applyAlignment="1" applyProtection="1">
      <alignment horizontal="left" vertical="center"/>
      <protection hidden="1"/>
    </xf>
    <xf numFmtId="0" fontId="58" fillId="32" borderId="0" xfId="40" applyFont="1" applyFill="1" applyBorder="1" applyAlignment="1" applyProtection="1">
      <alignment horizontal="left" vertical="center"/>
      <protection hidden="1"/>
    </xf>
    <xf numFmtId="0" fontId="61" fillId="32" borderId="0" xfId="40" applyFont="1" applyFill="1" applyAlignment="1" applyProtection="1">
      <alignment horizontal="left" vertical="center"/>
      <protection hidden="1"/>
    </xf>
    <xf numFmtId="0" fontId="3" fillId="24" borderId="0" xfId="0" applyNumberFormat="1" applyFont="1" applyFill="1" applyAlignment="1" applyProtection="1">
      <alignment horizontal="center" vertical="center"/>
      <protection hidden="1"/>
    </xf>
    <xf numFmtId="0" fontId="64" fillId="24" borderId="0" xfId="40" applyFont="1" applyFill="1" applyBorder="1" applyAlignment="1" applyProtection="1">
      <alignment vertical="center"/>
      <protection hidden="1"/>
    </xf>
    <xf numFmtId="0" fontId="65" fillId="24" borderId="0" xfId="40" applyFont="1" applyFill="1" applyBorder="1" applyAlignment="1" applyProtection="1">
      <alignment vertical="center"/>
      <protection hidden="1"/>
    </xf>
    <xf numFmtId="0" fontId="53" fillId="24" borderId="0" xfId="40" applyFont="1" applyFill="1" applyBorder="1" applyAlignment="1" applyProtection="1">
      <alignment vertical="center"/>
      <protection hidden="1"/>
    </xf>
    <xf numFmtId="8" fontId="53" fillId="24" borderId="0" xfId="40" applyNumberFormat="1" applyFont="1" applyFill="1" applyBorder="1" applyAlignment="1" applyProtection="1">
      <alignment vertical="center"/>
      <protection hidden="1"/>
    </xf>
    <xf numFmtId="0" fontId="53" fillId="24" borderId="0" xfId="40" applyFont="1" applyFill="1" applyBorder="1" applyAlignment="1" applyProtection="1">
      <alignment horizontal="center" vertical="center"/>
      <protection hidden="1"/>
    </xf>
    <xf numFmtId="0" fontId="4" fillId="24" borderId="0" xfId="40" applyFont="1" applyFill="1" applyBorder="1" applyAlignment="1" applyProtection="1">
      <alignment vertical="center"/>
      <protection hidden="1"/>
    </xf>
    <xf numFmtId="8" fontId="4" fillId="24" borderId="0" xfId="40" applyNumberFormat="1" applyFont="1" applyFill="1" applyBorder="1" applyAlignment="1" applyProtection="1">
      <alignment vertical="center"/>
      <protection hidden="1"/>
    </xf>
    <xf numFmtId="0" fontId="4" fillId="24" borderId="0" xfId="40" applyFont="1" applyFill="1" applyBorder="1" applyAlignment="1" applyProtection="1">
      <alignment horizontal="center" vertical="center"/>
      <protection hidden="1"/>
    </xf>
    <xf numFmtId="0" fontId="4" fillId="24" borderId="0" xfId="40" applyFont="1" applyFill="1" applyBorder="1" applyAlignment="1" applyProtection="1">
      <alignment horizontal="left" vertical="center"/>
      <protection hidden="1"/>
    </xf>
    <xf numFmtId="8" fontId="4" fillId="24" borderId="0" xfId="40" applyNumberFormat="1" applyFont="1" applyFill="1" applyBorder="1" applyAlignment="1" applyProtection="1">
      <alignment horizontal="right" vertical="center"/>
      <protection hidden="1"/>
    </xf>
    <xf numFmtId="0" fontId="4" fillId="24" borderId="0" xfId="40" applyFont="1" applyFill="1" applyAlignment="1" applyProtection="1">
      <alignment vertical="center"/>
      <protection hidden="1"/>
    </xf>
    <xf numFmtId="0" fontId="3" fillId="24" borderId="0" xfId="40" applyFont="1" applyFill="1" applyAlignment="1" applyProtection="1">
      <alignment vertical="center"/>
      <protection hidden="1"/>
    </xf>
    <xf numFmtId="0" fontId="4" fillId="24" borderId="0" xfId="40" applyFont="1" applyFill="1" applyAlignment="1" applyProtection="1">
      <alignment horizontal="center" vertical="center"/>
      <protection hidden="1"/>
    </xf>
    <xf numFmtId="8" fontId="4" fillId="24" borderId="0" xfId="40" applyNumberFormat="1" applyFont="1" applyFill="1" applyAlignment="1" applyProtection="1">
      <alignment vertical="center"/>
      <protection hidden="1"/>
    </xf>
    <xf numFmtId="0" fontId="62" fillId="24" borderId="0" xfId="40" applyFont="1" applyFill="1" applyAlignment="1" applyProtection="1">
      <alignment vertical="center"/>
      <protection hidden="1"/>
    </xf>
    <xf numFmtId="0" fontId="26" fillId="24" borderId="0" xfId="0" applyFont="1" applyFill="1" applyAlignment="1" applyProtection="1">
      <alignment vertical="center"/>
      <protection hidden="1"/>
    </xf>
    <xf numFmtId="8" fontId="63" fillId="24" borderId="0" xfId="0" applyNumberFormat="1" applyFont="1" applyFill="1" applyAlignment="1" applyProtection="1">
      <alignment vertical="center"/>
      <protection hidden="1"/>
    </xf>
    <xf numFmtId="0" fontId="40" fillId="24" borderId="0" xfId="0" applyFont="1" applyFill="1" applyAlignment="1" applyProtection="1">
      <alignment vertical="center"/>
      <protection hidden="1"/>
    </xf>
    <xf numFmtId="0" fontId="40" fillId="24" borderId="0" xfId="0" applyFont="1" applyFill="1" applyAlignment="1" applyProtection="1">
      <alignment horizontal="center" vertical="center"/>
      <protection hidden="1"/>
    </xf>
    <xf numFmtId="0" fontId="26" fillId="24" borderId="10" xfId="0" applyFont="1" applyFill="1" applyBorder="1" applyAlignment="1" applyProtection="1">
      <alignment vertical="center"/>
      <protection hidden="1"/>
    </xf>
    <xf numFmtId="0" fontId="26" fillId="24" borderId="0" xfId="0" applyFont="1" applyFill="1" applyAlignment="1" applyProtection="1">
      <alignment horizontal="left" vertical="center"/>
      <protection hidden="1"/>
    </xf>
    <xf numFmtId="8" fontId="26" fillId="24" borderId="0" xfId="0" applyNumberFormat="1" applyFont="1" applyFill="1" applyAlignment="1" applyProtection="1">
      <alignment vertical="center"/>
      <protection hidden="1"/>
    </xf>
    <xf numFmtId="0" fontId="26" fillId="24" borderId="0" xfId="0" applyFont="1" applyFill="1" applyBorder="1" applyAlignment="1" applyProtection="1">
      <alignment vertical="center"/>
      <protection hidden="1"/>
    </xf>
    <xf numFmtId="0" fontId="66" fillId="24" borderId="0" xfId="0" applyFont="1" applyFill="1" applyAlignment="1" applyProtection="1">
      <alignment vertical="center"/>
      <protection hidden="1"/>
    </xf>
    <xf numFmtId="8" fontId="63" fillId="24" borderId="0" xfId="0" applyNumberFormat="1" applyFont="1" applyFill="1" applyAlignment="1" applyProtection="1">
      <alignment horizontal="right" vertical="center"/>
      <protection hidden="1"/>
    </xf>
    <xf numFmtId="0" fontId="4" fillId="24" borderId="10" xfId="40" applyFont="1" applyFill="1" applyBorder="1" applyAlignment="1" applyProtection="1">
      <alignment horizontal="center" vertical="center"/>
      <protection hidden="1"/>
    </xf>
    <xf numFmtId="0" fontId="5" fillId="24" borderId="0" xfId="0" applyFont="1" applyFill="1" applyAlignment="1" applyProtection="1">
      <alignment horizontal="left" vertical="center"/>
      <protection hidden="1"/>
    </xf>
    <xf numFmtId="8" fontId="5" fillId="24" borderId="0" xfId="40" applyNumberFormat="1" applyFont="1" applyFill="1" applyBorder="1" applyAlignment="1" applyProtection="1">
      <alignment horizontal="right" vertical="center"/>
      <protection hidden="1"/>
    </xf>
    <xf numFmtId="8" fontId="3" fillId="24" borderId="0" xfId="40" applyNumberFormat="1" applyFont="1" applyFill="1" applyBorder="1" applyAlignment="1" applyProtection="1">
      <alignment horizontal="right" vertical="center"/>
      <protection hidden="1"/>
    </xf>
    <xf numFmtId="0" fontId="3" fillId="24" borderId="0" xfId="40" applyFont="1" applyFill="1" applyAlignment="1" applyProtection="1">
      <alignment horizontal="center" vertical="center"/>
      <protection hidden="1"/>
    </xf>
    <xf numFmtId="0" fontId="36" fillId="24" borderId="0" xfId="0" applyFont="1" applyFill="1" applyBorder="1" applyAlignment="1" applyProtection="1">
      <alignment horizontal="right" vertical="center"/>
      <protection hidden="1"/>
    </xf>
    <xf numFmtId="0" fontId="39" fillId="24" borderId="0" xfId="40" applyFont="1" applyFill="1" applyBorder="1" applyAlignment="1" applyProtection="1">
      <alignment vertical="center"/>
      <protection hidden="1"/>
    </xf>
    <xf numFmtId="0" fontId="39" fillId="24" borderId="0" xfId="40" applyFont="1" applyFill="1" applyAlignment="1" applyProtection="1">
      <alignment vertical="center"/>
      <protection hidden="1"/>
    </xf>
    <xf numFmtId="0" fontId="3" fillId="24" borderId="0" xfId="40" applyFont="1" applyFill="1" applyBorder="1" applyAlignment="1" applyProtection="1">
      <alignment vertical="center"/>
      <protection hidden="1"/>
    </xf>
    <xf numFmtId="0" fontId="51" fillId="30" borderId="0" xfId="40" applyFont="1" applyFill="1" applyAlignment="1" applyProtection="1">
      <alignment horizontal="center" vertical="center"/>
      <protection locked="0" hidden="1"/>
    </xf>
    <xf numFmtId="0" fontId="39" fillId="24" borderId="13" xfId="40" applyFont="1" applyFill="1" applyBorder="1" applyAlignment="1" applyProtection="1">
      <alignment vertical="center"/>
      <protection hidden="1"/>
    </xf>
    <xf numFmtId="0" fontId="39" fillId="24" borderId="10" xfId="40" applyFont="1" applyFill="1" applyBorder="1" applyAlignment="1" applyProtection="1">
      <alignment vertical="center"/>
      <protection hidden="1"/>
    </xf>
    <xf numFmtId="0" fontId="4" fillId="24" borderId="14" xfId="40" applyFont="1" applyFill="1" applyBorder="1" applyAlignment="1" applyProtection="1">
      <alignment horizontal="center" vertical="center"/>
      <protection hidden="1"/>
    </xf>
    <xf numFmtId="0" fontId="39" fillId="24" borderId="12" xfId="40" applyFont="1" applyFill="1" applyBorder="1" applyAlignment="1" applyProtection="1">
      <alignment vertical="center"/>
      <protection hidden="1"/>
    </xf>
    <xf numFmtId="167" fontId="4" fillId="24" borderId="0" xfId="40" applyNumberFormat="1" applyFont="1" applyFill="1" applyBorder="1" applyAlignment="1" applyProtection="1">
      <alignment horizontal="center" vertical="center"/>
      <protection hidden="1"/>
    </xf>
    <xf numFmtId="167" fontId="4" fillId="24" borderId="0" xfId="40" applyNumberFormat="1" applyFont="1" applyFill="1" applyBorder="1" applyAlignment="1" applyProtection="1">
      <alignment vertical="center"/>
      <protection hidden="1"/>
    </xf>
    <xf numFmtId="0" fontId="50" fillId="24" borderId="0" xfId="40" applyFont="1" applyFill="1" applyBorder="1" applyAlignment="1" applyProtection="1">
      <alignment vertical="center"/>
      <protection hidden="1"/>
    </xf>
    <xf numFmtId="0" fontId="5" fillId="24" borderId="0" xfId="0" applyFont="1" applyFill="1" applyAlignment="1" applyProtection="1">
      <alignment vertical="center"/>
      <protection hidden="1"/>
    </xf>
    <xf numFmtId="8" fontId="5" fillId="24" borderId="0" xfId="0" applyNumberFormat="1" applyFont="1" applyFill="1" applyBorder="1" applyAlignment="1" applyProtection="1">
      <alignment vertical="center"/>
      <protection hidden="1"/>
    </xf>
    <xf numFmtId="0" fontId="59" fillId="24" borderId="0" xfId="40" applyFont="1" applyFill="1" applyBorder="1" applyAlignment="1" applyProtection="1">
      <alignment horizontal="left" vertical="center"/>
      <protection hidden="1"/>
    </xf>
    <xf numFmtId="166" fontId="5" fillId="24" borderId="0" xfId="40" applyNumberFormat="1" applyFont="1" applyFill="1" applyBorder="1" applyAlignment="1" applyProtection="1">
      <alignment horizontal="center" vertical="center"/>
      <protection hidden="1"/>
    </xf>
    <xf numFmtId="167" fontId="5" fillId="24" borderId="0" xfId="40" applyNumberFormat="1" applyFont="1" applyFill="1" applyBorder="1" applyAlignment="1" applyProtection="1">
      <alignment horizontal="center" vertical="center"/>
      <protection hidden="1"/>
    </xf>
    <xf numFmtId="0" fontId="5" fillId="30" borderId="0" xfId="0" applyFont="1" applyFill="1" applyAlignment="1" applyProtection="1">
      <alignment horizontal="center" vertical="center"/>
      <protection locked="0" hidden="1"/>
    </xf>
    <xf numFmtId="0" fontId="67" fillId="32" borderId="0" xfId="0" applyFont="1" applyFill="1" applyBorder="1" applyAlignment="1" applyProtection="1">
      <alignment horizontal="left" vertical="center" wrapText="1"/>
      <protection hidden="1"/>
    </xf>
    <xf numFmtId="0" fontId="47" fillId="32" borderId="0" xfId="0" applyFont="1" applyFill="1" applyAlignment="1" applyProtection="1">
      <alignment horizontal="left" vertical="center" wrapText="1"/>
      <protection hidden="1"/>
    </xf>
    <xf numFmtId="0" fontId="47" fillId="32" borderId="0" xfId="40" applyFont="1" applyFill="1" applyAlignment="1" applyProtection="1">
      <alignment horizontal="left" vertical="center" wrapText="1"/>
      <protection hidden="1"/>
    </xf>
    <xf numFmtId="0" fontId="47" fillId="32" borderId="0" xfId="40" applyFont="1" applyFill="1" applyAlignment="1" applyProtection="1">
      <alignment vertical="center" wrapText="1"/>
      <protection hidden="1"/>
    </xf>
    <xf numFmtId="0" fontId="47" fillId="28" borderId="0" xfId="0" applyNumberFormat="1" applyFont="1" applyFill="1" applyBorder="1" applyAlignment="1" applyProtection="1">
      <alignment horizontal="left" vertical="center" wrapText="1"/>
      <protection hidden="1"/>
    </xf>
    <xf numFmtId="0" fontId="46" fillId="32" borderId="0" xfId="0" applyFont="1" applyFill="1" applyAlignment="1" applyProtection="1">
      <alignment horizontal="left" vertical="center" wrapText="1"/>
      <protection hidden="1"/>
    </xf>
    <xf numFmtId="0" fontId="8" fillId="24" borderId="0" xfId="0" applyFont="1" applyFill="1" applyAlignment="1" applyProtection="1">
      <alignment horizontal="right" vertical="center"/>
      <protection hidden="1"/>
    </xf>
    <xf numFmtId="14" fontId="47" fillId="28" borderId="0" xfId="0" applyNumberFormat="1" applyFont="1" applyFill="1" applyBorder="1" applyAlignment="1" applyProtection="1">
      <alignment horizontal="left" vertical="center"/>
      <protection hidden="1"/>
    </xf>
    <xf numFmtId="0" fontId="47" fillId="28" borderId="0" xfId="0" applyNumberFormat="1" applyFont="1" applyFill="1" applyBorder="1" applyAlignment="1" applyProtection="1">
      <alignment horizontal="left" vertical="center"/>
      <protection hidden="1"/>
    </xf>
    <xf numFmtId="0" fontId="39" fillId="24" borderId="0" xfId="36" applyFont="1" applyFill="1" applyBorder="1" applyAlignment="1" applyProtection="1">
      <alignment vertical="center"/>
      <protection hidden="1"/>
    </xf>
    <xf numFmtId="0" fontId="4" fillId="24" borderId="0" xfId="36" applyFont="1" applyFill="1" applyBorder="1" applyAlignment="1" applyProtection="1">
      <alignment vertical="center"/>
      <protection hidden="1"/>
    </xf>
    <xf numFmtId="0" fontId="3" fillId="24" borderId="0" xfId="36" applyFont="1" applyFill="1" applyBorder="1" applyAlignment="1" applyProtection="1">
      <alignment vertical="center"/>
      <protection hidden="1"/>
    </xf>
    <xf numFmtId="0" fontId="4" fillId="24" borderId="0" xfId="36" applyFont="1" applyFill="1" applyBorder="1" applyAlignment="1" applyProtection="1">
      <alignment horizontal="left" vertical="center"/>
      <protection hidden="1"/>
    </xf>
    <xf numFmtId="0" fontId="4" fillId="24" borderId="0" xfId="36" applyFont="1" applyFill="1" applyBorder="1" applyAlignment="1" applyProtection="1">
      <alignment horizontal="right" vertical="center"/>
      <protection hidden="1"/>
    </xf>
    <xf numFmtId="0" fontId="37" fillId="25" borderId="0" xfId="0" applyFont="1" applyFill="1" applyAlignment="1">
      <alignment horizontal="left"/>
    </xf>
    <xf numFmtId="0" fontId="37" fillId="0" borderId="0" xfId="0" applyFont="1"/>
    <xf numFmtId="0" fontId="26" fillId="0" borderId="0" xfId="0" applyNumberFormat="1" applyFont="1" applyAlignment="1">
      <alignment horizontal="left"/>
    </xf>
    <xf numFmtId="0" fontId="26" fillId="0" borderId="0" xfId="0" applyFont="1"/>
    <xf numFmtId="0" fontId="4" fillId="0" borderId="0" xfId="0" applyFont="1"/>
    <xf numFmtId="0" fontId="39" fillId="24" borderId="0" xfId="36" applyFont="1" applyFill="1" applyBorder="1" applyAlignment="1" applyProtection="1">
      <alignment vertical="center" wrapText="1"/>
      <protection hidden="1"/>
    </xf>
    <xf numFmtId="0" fontId="72" fillId="24" borderId="0" xfId="36" applyFont="1" applyFill="1" applyBorder="1" applyAlignment="1" applyProtection="1">
      <alignment vertical="center"/>
      <protection hidden="1"/>
    </xf>
    <xf numFmtId="0" fontId="65" fillId="24" borderId="0" xfId="36" applyFont="1" applyFill="1" applyBorder="1" applyAlignment="1" applyProtection="1">
      <alignment vertical="center"/>
      <protection hidden="1"/>
    </xf>
    <xf numFmtId="0" fontId="72" fillId="24" borderId="0" xfId="36" applyFont="1" applyFill="1" applyBorder="1" applyAlignment="1" applyProtection="1">
      <alignment horizontal="left" vertical="center"/>
      <protection hidden="1"/>
    </xf>
    <xf numFmtId="14" fontId="72" fillId="24" borderId="0" xfId="36" applyNumberFormat="1" applyFont="1" applyFill="1" applyBorder="1" applyAlignment="1" applyProtection="1">
      <alignment horizontal="left" vertical="center"/>
      <protection hidden="1"/>
    </xf>
    <xf numFmtId="0" fontId="39" fillId="24" borderId="0" xfId="36" applyNumberFormat="1" applyFont="1" applyFill="1" applyBorder="1" applyAlignment="1" applyProtection="1">
      <alignment horizontal="left" vertical="center"/>
      <protection hidden="1"/>
    </xf>
    <xf numFmtId="0" fontId="39" fillId="24" borderId="0" xfId="36" applyFont="1" applyFill="1" applyBorder="1" applyAlignment="1" applyProtection="1">
      <alignment horizontal="left" vertical="center"/>
      <protection hidden="1"/>
    </xf>
    <xf numFmtId="14" fontId="39" fillId="24" borderId="0" xfId="36" applyNumberFormat="1" applyFont="1" applyFill="1" applyBorder="1" applyAlignment="1" applyProtection="1">
      <alignment horizontal="left" vertical="center"/>
      <protection hidden="1"/>
    </xf>
    <xf numFmtId="0" fontId="64" fillId="24" borderId="0" xfId="36" applyFont="1" applyFill="1" applyBorder="1" applyAlignment="1" applyProtection="1">
      <alignment vertical="center"/>
      <protection hidden="1"/>
    </xf>
    <xf numFmtId="0" fontId="70" fillId="24" borderId="0" xfId="36" applyFont="1" applyFill="1" applyBorder="1" applyAlignment="1" applyProtection="1">
      <alignment vertical="center"/>
      <protection hidden="1"/>
    </xf>
    <xf numFmtId="0" fontId="73" fillId="32" borderId="0" xfId="36" applyFont="1" applyFill="1" applyBorder="1" applyAlignment="1" applyProtection="1">
      <alignment horizontal="left" vertical="center" wrapText="1"/>
      <protection hidden="1"/>
    </xf>
    <xf numFmtId="0" fontId="4" fillId="24" borderId="0" xfId="36" applyNumberFormat="1" applyFont="1" applyFill="1" applyBorder="1" applyAlignment="1" applyProtection="1">
      <alignment horizontal="left" vertical="center"/>
      <protection hidden="1"/>
    </xf>
    <xf numFmtId="0" fontId="49" fillId="24" borderId="0" xfId="36" applyFont="1" applyFill="1" applyBorder="1" applyAlignment="1" applyProtection="1">
      <alignment horizontal="left" vertical="center"/>
      <protection hidden="1"/>
    </xf>
    <xf numFmtId="14" fontId="4" fillId="24" borderId="0" xfId="36" applyNumberFormat="1" applyFont="1" applyFill="1" applyBorder="1" applyAlignment="1" applyProtection="1">
      <alignment horizontal="left" vertical="center"/>
      <protection hidden="1"/>
    </xf>
    <xf numFmtId="0" fontId="58" fillId="24" borderId="0" xfId="36" applyFont="1" applyFill="1" applyBorder="1" applyAlignment="1" applyProtection="1">
      <alignment horizontal="left" vertical="center"/>
      <protection hidden="1"/>
    </xf>
    <xf numFmtId="14" fontId="3" fillId="24" borderId="0" xfId="36" applyNumberFormat="1" applyFont="1" applyFill="1" applyBorder="1" applyAlignment="1" applyProtection="1">
      <alignment horizontal="center" vertical="center"/>
      <protection hidden="1"/>
    </xf>
    <xf numFmtId="14" fontId="3" fillId="24" borderId="0" xfId="36" applyNumberFormat="1" applyFont="1" applyFill="1" applyBorder="1" applyAlignment="1" applyProtection="1">
      <alignment horizontal="right" vertical="center"/>
      <protection hidden="1"/>
    </xf>
    <xf numFmtId="0" fontId="4" fillId="24" borderId="0" xfId="36" quotePrefix="1" applyNumberFormat="1" applyFont="1" applyFill="1" applyBorder="1" applyAlignment="1" applyProtection="1">
      <alignment horizontal="left" vertical="center"/>
      <protection hidden="1"/>
    </xf>
    <xf numFmtId="0" fontId="3" fillId="24" borderId="0" xfId="36" applyNumberFormat="1" applyFont="1" applyFill="1" applyBorder="1" applyAlignment="1" applyProtection="1">
      <alignment horizontal="left" vertical="center"/>
      <protection hidden="1"/>
    </xf>
    <xf numFmtId="0" fontId="48" fillId="24" borderId="0" xfId="36" applyFont="1" applyFill="1" applyBorder="1" applyAlignment="1" applyProtection="1">
      <alignment horizontal="left" vertical="center"/>
      <protection hidden="1"/>
    </xf>
    <xf numFmtId="14" fontId="3" fillId="24" borderId="0" xfId="36" applyNumberFormat="1" applyFont="1" applyFill="1" applyBorder="1" applyAlignment="1" applyProtection="1">
      <alignment horizontal="left" vertical="center"/>
      <protection hidden="1"/>
    </xf>
    <xf numFmtId="8" fontId="4" fillId="24" borderId="0" xfId="36" applyNumberFormat="1" applyFont="1" applyFill="1" applyBorder="1" applyAlignment="1" applyProtection="1">
      <alignment horizontal="right" vertical="center"/>
      <protection hidden="1"/>
    </xf>
    <xf numFmtId="14" fontId="4" fillId="24" borderId="10" xfId="36" applyNumberFormat="1" applyFont="1" applyFill="1" applyBorder="1" applyAlignment="1" applyProtection="1">
      <alignment horizontal="left" vertical="center"/>
      <protection hidden="1"/>
    </xf>
    <xf numFmtId="164" fontId="3" fillId="24" borderId="0" xfId="36" applyNumberFormat="1" applyFont="1" applyFill="1" applyBorder="1" applyAlignment="1" applyProtection="1">
      <alignment horizontal="right" vertical="center"/>
      <protection hidden="1"/>
    </xf>
    <xf numFmtId="8" fontId="4" fillId="24" borderId="10" xfId="36" applyNumberFormat="1" applyFont="1" applyFill="1" applyBorder="1" applyAlignment="1" applyProtection="1">
      <alignment vertical="center"/>
      <protection hidden="1"/>
    </xf>
    <xf numFmtId="8" fontId="4" fillId="24" borderId="0" xfId="36" applyNumberFormat="1" applyFont="1" applyFill="1" applyBorder="1" applyAlignment="1" applyProtection="1">
      <alignment vertical="center"/>
      <protection hidden="1"/>
    </xf>
    <xf numFmtId="8" fontId="3" fillId="24" borderId="0" xfId="36" applyNumberFormat="1" applyFont="1" applyFill="1" applyBorder="1" applyAlignment="1" applyProtection="1">
      <alignment vertical="center"/>
      <protection hidden="1"/>
    </xf>
    <xf numFmtId="14" fontId="3" fillId="24" borderId="10" xfId="36" applyNumberFormat="1" applyFont="1" applyFill="1" applyBorder="1" applyAlignment="1" applyProtection="1">
      <alignment horizontal="left" vertical="center"/>
      <protection hidden="1"/>
    </xf>
    <xf numFmtId="0" fontId="4" fillId="24" borderId="0" xfId="36" applyFont="1" applyFill="1" applyBorder="1" applyAlignment="1" applyProtection="1">
      <alignment horizontal="center" vertical="center"/>
      <protection hidden="1"/>
    </xf>
    <xf numFmtId="8" fontId="3" fillId="24" borderId="0" xfId="36" applyNumberFormat="1" applyFont="1" applyFill="1" applyBorder="1" applyAlignment="1" applyProtection="1">
      <alignment horizontal="right" vertical="center"/>
      <protection hidden="1"/>
    </xf>
    <xf numFmtId="0" fontId="72" fillId="32" borderId="0" xfId="36" applyFont="1" applyFill="1" applyBorder="1" applyAlignment="1" applyProtection="1">
      <alignment horizontal="right" vertical="center"/>
      <protection hidden="1"/>
    </xf>
    <xf numFmtId="0" fontId="73" fillId="32" borderId="0" xfId="36" applyFont="1" applyFill="1" applyBorder="1" applyAlignment="1" applyProtection="1">
      <alignment horizontal="right" vertical="center"/>
      <protection hidden="1"/>
    </xf>
    <xf numFmtId="0" fontId="39" fillId="32" borderId="0" xfId="36" applyFont="1" applyFill="1" applyBorder="1" applyAlignment="1" applyProtection="1">
      <alignment horizontal="right" vertical="center"/>
      <protection hidden="1"/>
    </xf>
    <xf numFmtId="0" fontId="4" fillId="32" borderId="0" xfId="36" applyFont="1" applyFill="1" applyBorder="1" applyAlignment="1" applyProtection="1">
      <alignment horizontal="right" vertical="center"/>
      <protection hidden="1"/>
    </xf>
    <xf numFmtId="14" fontId="3" fillId="32" borderId="0" xfId="36" applyNumberFormat="1" applyFont="1" applyFill="1" applyBorder="1" applyAlignment="1" applyProtection="1">
      <alignment horizontal="center" vertical="center"/>
      <protection hidden="1"/>
    </xf>
    <xf numFmtId="0" fontId="3" fillId="32" borderId="0" xfId="36" applyFont="1" applyFill="1" applyBorder="1" applyAlignment="1" applyProtection="1">
      <alignment horizontal="left" vertical="center"/>
      <protection hidden="1"/>
    </xf>
    <xf numFmtId="0" fontId="3" fillId="32" borderId="0" xfId="36" applyFont="1" applyFill="1" applyBorder="1" applyAlignment="1" applyProtection="1">
      <alignment vertical="center"/>
      <protection hidden="1"/>
    </xf>
    <xf numFmtId="0" fontId="3" fillId="32" borderId="0" xfId="36" applyFont="1" applyFill="1" applyBorder="1" applyAlignment="1" applyProtection="1">
      <alignment horizontal="right" vertical="center"/>
      <protection hidden="1"/>
    </xf>
    <xf numFmtId="0" fontId="4" fillId="32" borderId="0" xfId="36" applyFont="1" applyFill="1" applyBorder="1" applyAlignment="1" applyProtection="1">
      <alignment vertical="center"/>
      <protection hidden="1"/>
    </xf>
    <xf numFmtId="8" fontId="4" fillId="32" borderId="0" xfId="36" applyNumberFormat="1" applyFont="1" applyFill="1" applyBorder="1" applyAlignment="1" applyProtection="1">
      <alignment horizontal="right" vertical="center"/>
      <protection hidden="1"/>
    </xf>
    <xf numFmtId="8" fontId="3" fillId="32" borderId="0" xfId="36" applyNumberFormat="1" applyFont="1" applyFill="1" applyBorder="1" applyAlignment="1" applyProtection="1">
      <alignment horizontal="right" vertical="center"/>
      <protection hidden="1"/>
    </xf>
    <xf numFmtId="14" fontId="4" fillId="32" borderId="0" xfId="36" applyNumberFormat="1" applyFont="1" applyFill="1" applyBorder="1" applyAlignment="1" applyProtection="1">
      <alignment horizontal="right" vertical="center"/>
      <protection hidden="1"/>
    </xf>
    <xf numFmtId="0" fontId="5" fillId="30" borderId="10" xfId="36" applyFont="1" applyFill="1" applyBorder="1" applyAlignment="1" applyProtection="1">
      <alignment horizontal="center" vertical="center"/>
      <protection locked="0" hidden="1"/>
    </xf>
    <xf numFmtId="49" fontId="5" fillId="30" borderId="0" xfId="36" applyNumberFormat="1" applyFont="1" applyFill="1" applyBorder="1" applyAlignment="1" applyProtection="1">
      <alignment horizontal="center" vertical="center"/>
      <protection locked="0" hidden="1"/>
    </xf>
    <xf numFmtId="0" fontId="5" fillId="30" borderId="0" xfId="36" applyNumberFormat="1" applyFont="1" applyFill="1" applyBorder="1" applyAlignment="1" applyProtection="1">
      <alignment horizontal="left" vertical="center"/>
      <protection locked="0" hidden="1"/>
    </xf>
    <xf numFmtId="8" fontId="5" fillId="30" borderId="0" xfId="36" applyNumberFormat="1" applyFont="1" applyFill="1" applyBorder="1" applyAlignment="1" applyProtection="1">
      <alignment horizontal="right" vertical="center"/>
      <protection locked="0" hidden="1"/>
    </xf>
    <xf numFmtId="8" fontId="5" fillId="30" borderId="10" xfId="36" applyNumberFormat="1" applyFont="1" applyFill="1" applyBorder="1" applyAlignment="1" applyProtection="1">
      <alignment horizontal="right" vertical="center"/>
      <protection locked="0" hidden="1"/>
    </xf>
    <xf numFmtId="164" fontId="5" fillId="30" borderId="0" xfId="36" applyNumberFormat="1" applyFont="1" applyFill="1" applyBorder="1" applyAlignment="1" applyProtection="1">
      <alignment horizontal="right" vertical="center"/>
      <protection locked="0" hidden="1"/>
    </xf>
    <xf numFmtId="164" fontId="5" fillId="30" borderId="10" xfId="36" applyNumberFormat="1" applyFont="1" applyFill="1" applyBorder="1" applyAlignment="1" applyProtection="1">
      <alignment horizontal="right" vertical="center"/>
      <protection locked="0" hidden="1"/>
    </xf>
    <xf numFmtId="0" fontId="74" fillId="24" borderId="0" xfId="36" applyFont="1" applyFill="1" applyBorder="1" applyAlignment="1" applyProtection="1">
      <alignment vertical="center"/>
      <protection hidden="1"/>
    </xf>
    <xf numFmtId="0" fontId="3" fillId="24" borderId="0" xfId="36" applyFont="1" applyFill="1" applyBorder="1" applyAlignment="1" applyProtection="1">
      <alignment horizontal="center" vertical="center"/>
      <protection hidden="1"/>
    </xf>
    <xf numFmtId="49" fontId="4" fillId="24" borderId="0" xfId="36" applyNumberFormat="1" applyFont="1" applyFill="1" applyBorder="1" applyAlignment="1" applyProtection="1">
      <alignment horizontal="center" vertical="center"/>
      <protection hidden="1"/>
    </xf>
    <xf numFmtId="8" fontId="4" fillId="24" borderId="0" xfId="36" applyNumberFormat="1" applyFont="1" applyFill="1" applyBorder="1" applyAlignment="1" applyProtection="1">
      <alignment horizontal="left" vertical="center"/>
      <protection hidden="1"/>
    </xf>
    <xf numFmtId="14" fontId="3" fillId="24" borderId="10" xfId="36" applyNumberFormat="1" applyFont="1" applyFill="1" applyBorder="1" applyAlignment="1" applyProtection="1">
      <alignment horizontal="center" vertical="center"/>
      <protection hidden="1"/>
    </xf>
    <xf numFmtId="0" fontId="44" fillId="32" borderId="0" xfId="0" applyFont="1" applyFill="1" applyBorder="1" applyAlignment="1" applyProtection="1">
      <protection hidden="1"/>
    </xf>
    <xf numFmtId="0" fontId="44" fillId="32" borderId="0" xfId="0" applyFont="1" applyFill="1" applyBorder="1" applyAlignment="1" applyProtection="1">
      <alignment vertical="top"/>
      <protection hidden="1"/>
    </xf>
    <xf numFmtId="0" fontId="61" fillId="32" borderId="0" xfId="36" applyFont="1" applyFill="1" applyBorder="1" applyAlignment="1" applyProtection="1">
      <alignment vertical="center" wrapText="1"/>
      <protection hidden="1"/>
    </xf>
    <xf numFmtId="0" fontId="58" fillId="32" borderId="0" xfId="36" applyFont="1" applyFill="1" applyBorder="1" applyAlignment="1" applyProtection="1">
      <alignment horizontal="left" vertical="center" wrapText="1"/>
      <protection hidden="1"/>
    </xf>
    <xf numFmtId="0" fontId="49" fillId="32" borderId="0" xfId="36" applyFont="1" applyFill="1" applyBorder="1" applyAlignment="1" applyProtection="1">
      <alignment horizontal="left" vertical="center" wrapText="1"/>
      <protection hidden="1"/>
    </xf>
    <xf numFmtId="0" fontId="61" fillId="32" borderId="0" xfId="36" applyFont="1" applyFill="1" applyBorder="1" applyAlignment="1" applyProtection="1">
      <alignment horizontal="left" vertical="center" wrapText="1"/>
      <protection hidden="1"/>
    </xf>
    <xf numFmtId="0" fontId="45" fillId="33" borderId="0" xfId="0" applyFont="1" applyFill="1" applyAlignment="1" applyProtection="1">
      <alignment vertical="center"/>
      <protection hidden="1"/>
    </xf>
    <xf numFmtId="0" fontId="45" fillId="32" borderId="0" xfId="0" applyFont="1" applyFill="1" applyAlignment="1" applyProtection="1">
      <alignment vertical="center"/>
      <protection hidden="1"/>
    </xf>
    <xf numFmtId="0" fontId="47" fillId="32" borderId="0" xfId="36" applyFont="1" applyFill="1" applyBorder="1" applyAlignment="1" applyProtection="1">
      <alignment vertical="center" wrapText="1"/>
      <protection hidden="1"/>
    </xf>
    <xf numFmtId="0" fontId="47" fillId="32" borderId="0" xfId="36" applyFont="1" applyFill="1" applyBorder="1" applyAlignment="1" applyProtection="1">
      <alignment horizontal="left" vertical="center" wrapText="1"/>
      <protection hidden="1"/>
    </xf>
    <xf numFmtId="0" fontId="5" fillId="30" borderId="0" xfId="36" applyNumberFormat="1" applyFont="1" applyFill="1" applyBorder="1" applyAlignment="1" applyProtection="1">
      <alignment horizontal="center" vertical="center"/>
      <protection locked="0" hidden="1"/>
    </xf>
    <xf numFmtId="0" fontId="5" fillId="30" borderId="0" xfId="36" applyFont="1" applyFill="1" applyBorder="1" applyAlignment="1" applyProtection="1">
      <alignment horizontal="center" vertical="center"/>
      <protection locked="0" hidden="1"/>
    </xf>
    <xf numFmtId="0" fontId="72" fillId="24" borderId="0" xfId="36" applyFont="1" applyFill="1" applyBorder="1" applyAlignment="1" applyProtection="1">
      <alignment horizontal="center" vertical="center"/>
      <protection hidden="1"/>
    </xf>
    <xf numFmtId="0" fontId="39" fillId="24" borderId="0" xfId="36" applyFont="1" applyFill="1" applyBorder="1" applyAlignment="1" applyProtection="1">
      <alignment horizontal="center" vertical="center"/>
      <protection hidden="1"/>
    </xf>
    <xf numFmtId="0" fontId="3" fillId="24" borderId="10" xfId="36" applyFont="1" applyFill="1" applyBorder="1" applyAlignment="1" applyProtection="1">
      <alignment horizontal="center" vertical="center"/>
      <protection hidden="1"/>
    </xf>
    <xf numFmtId="8" fontId="4" fillId="24" borderId="0" xfId="36" applyNumberFormat="1" applyFont="1" applyFill="1" applyBorder="1" applyAlignment="1" applyProtection="1">
      <alignment horizontal="center" vertical="center"/>
      <protection hidden="1"/>
    </xf>
    <xf numFmtId="8" fontId="3" fillId="24" borderId="0" xfId="36" applyNumberFormat="1" applyFont="1" applyFill="1" applyBorder="1" applyAlignment="1" applyProtection="1">
      <alignment horizontal="center" vertical="center"/>
      <protection hidden="1"/>
    </xf>
    <xf numFmtId="14" fontId="4" fillId="24" borderId="0" xfId="36" applyNumberFormat="1" applyFont="1" applyFill="1" applyBorder="1" applyAlignment="1" applyProtection="1">
      <alignment horizontal="center" vertical="center"/>
      <protection hidden="1"/>
    </xf>
    <xf numFmtId="0" fontId="5" fillId="24" borderId="0" xfId="36" applyFont="1" applyFill="1" applyBorder="1" applyAlignment="1" applyProtection="1">
      <alignment horizontal="center" vertical="center"/>
      <protection hidden="1"/>
    </xf>
    <xf numFmtId="0" fontId="5" fillId="24" borderId="0" xfId="36" applyNumberFormat="1" applyFont="1" applyFill="1" applyBorder="1" applyAlignment="1" applyProtection="1">
      <alignment horizontal="left" vertical="center"/>
      <protection hidden="1"/>
    </xf>
    <xf numFmtId="164" fontId="5" fillId="24" borderId="0" xfId="36" applyNumberFormat="1" applyFont="1" applyFill="1" applyBorder="1" applyAlignment="1" applyProtection="1">
      <alignment horizontal="right" vertical="center"/>
      <protection hidden="1"/>
    </xf>
    <xf numFmtId="49" fontId="5" fillId="24" borderId="0" xfId="36" applyNumberFormat="1" applyFont="1" applyFill="1" applyBorder="1" applyAlignment="1" applyProtection="1">
      <alignment horizontal="center" vertical="center"/>
      <protection hidden="1"/>
    </xf>
    <xf numFmtId="8" fontId="5" fillId="24" borderId="0" xfId="36" applyNumberFormat="1" applyFont="1" applyFill="1" applyBorder="1" applyAlignment="1" applyProtection="1">
      <alignment horizontal="right" vertical="center"/>
      <protection hidden="1"/>
    </xf>
    <xf numFmtId="0" fontId="47" fillId="24" borderId="0" xfId="36" applyFont="1" applyFill="1" applyBorder="1" applyAlignment="1" applyProtection="1">
      <alignment vertical="center" wrapText="1"/>
      <protection hidden="1"/>
    </xf>
    <xf numFmtId="0" fontId="75" fillId="32" borderId="0" xfId="0" applyFont="1" applyFill="1" applyAlignment="1" applyProtection="1">
      <alignment vertical="center"/>
      <protection hidden="1"/>
    </xf>
    <xf numFmtId="0" fontId="75" fillId="32" borderId="0" xfId="0" applyFont="1" applyFill="1" applyAlignment="1" applyProtection="1">
      <alignment horizontal="left" vertical="center" wrapText="1"/>
      <protection hidden="1"/>
    </xf>
    <xf numFmtId="0" fontId="52" fillId="28" borderId="0" xfId="32" applyNumberFormat="1" applyFont="1" applyFill="1" applyBorder="1" applyAlignment="1" applyProtection="1">
      <alignment vertical="center"/>
      <protection hidden="1"/>
    </xf>
    <xf numFmtId="0" fontId="71" fillId="28" borderId="0" xfId="0" applyNumberFormat="1" applyFont="1" applyFill="1" applyBorder="1" applyAlignment="1" applyProtection="1">
      <alignment vertical="center"/>
      <protection hidden="1"/>
    </xf>
    <xf numFmtId="0" fontId="1" fillId="24" borderId="0" xfId="0" applyFont="1" applyFill="1" applyProtection="1">
      <protection hidden="1"/>
    </xf>
    <xf numFmtId="0" fontId="2" fillId="24" borderId="0" xfId="0" applyFont="1" applyFill="1" applyAlignment="1" applyProtection="1">
      <alignment horizontal="left" vertical="center" wrapText="1"/>
      <protection hidden="1"/>
    </xf>
    <xf numFmtId="0" fontId="47" fillId="24" borderId="0" xfId="40" applyFont="1" applyFill="1" applyAlignment="1" applyProtection="1">
      <alignment horizontal="left" vertical="center" wrapText="1"/>
      <protection hidden="1"/>
    </xf>
    <xf numFmtId="0" fontId="58" fillId="24" borderId="0" xfId="40" applyFont="1" applyFill="1" applyAlignment="1" applyProtection="1">
      <alignment horizontal="left" vertical="center"/>
      <protection hidden="1"/>
    </xf>
    <xf numFmtId="0" fontId="2" fillId="28" borderId="0" xfId="0" applyFont="1" applyFill="1" applyAlignment="1" applyProtection="1">
      <alignment vertical="center"/>
      <protection hidden="1"/>
    </xf>
    <xf numFmtId="0" fontId="47" fillId="28" borderId="0" xfId="32" applyNumberFormat="1" applyFont="1" applyFill="1" applyBorder="1" applyAlignment="1" applyProtection="1">
      <alignment horizontal="right" vertical="center"/>
      <protection hidden="1"/>
    </xf>
    <xf numFmtId="14" fontId="47" fillId="28" borderId="0" xfId="32" applyNumberFormat="1" applyFont="1" applyFill="1" applyBorder="1" applyAlignment="1" applyProtection="1">
      <alignment horizontal="left" vertical="center"/>
      <protection hidden="1"/>
    </xf>
    <xf numFmtId="0" fontId="0" fillId="28" borderId="0" xfId="0" applyFill="1" applyProtection="1">
      <protection hidden="1"/>
    </xf>
    <xf numFmtId="0" fontId="0" fillId="28" borderId="0" xfId="0" applyFill="1" applyAlignment="1" applyProtection="1">
      <alignment horizontal="center"/>
      <protection hidden="1"/>
    </xf>
    <xf numFmtId="0" fontId="0" fillId="24" borderId="0" xfId="0" applyFill="1" applyProtection="1">
      <protection hidden="1"/>
    </xf>
    <xf numFmtId="0" fontId="0" fillId="24" borderId="0" xfId="0" applyFill="1" applyAlignment="1" applyProtection="1">
      <alignment horizontal="center"/>
      <protection hidden="1"/>
    </xf>
    <xf numFmtId="0" fontId="76" fillId="24" borderId="12" xfId="41" applyFont="1" applyFill="1" applyBorder="1" applyAlignment="1" applyProtection="1">
      <alignment horizontal="center" vertical="center"/>
      <protection hidden="1"/>
    </xf>
    <xf numFmtId="165" fontId="38" fillId="24" borderId="12" xfId="41" applyNumberFormat="1" applyFont="1" applyFill="1" applyBorder="1" applyAlignment="1" applyProtection="1">
      <alignment horizontal="center" vertical="center"/>
      <protection hidden="1"/>
    </xf>
    <xf numFmtId="0" fontId="2" fillId="24" borderId="0" xfId="0" applyFont="1" applyFill="1" applyProtection="1">
      <protection hidden="1"/>
    </xf>
    <xf numFmtId="0" fontId="2" fillId="24" borderId="0" xfId="0" applyFont="1" applyFill="1" applyAlignment="1" applyProtection="1">
      <alignment horizontal="center"/>
      <protection hidden="1"/>
    </xf>
    <xf numFmtId="0" fontId="3" fillId="24" borderId="11" xfId="41" applyFont="1" applyFill="1" applyBorder="1" applyAlignment="1" applyProtection="1">
      <alignment horizontal="center" vertical="top" wrapText="1"/>
      <protection hidden="1"/>
    </xf>
    <xf numFmtId="8" fontId="38" fillId="24" borderId="12" xfId="41" applyNumberFormat="1" applyFont="1" applyFill="1" applyBorder="1" applyAlignment="1" applyProtection="1">
      <alignment horizontal="center" vertical="center"/>
      <protection hidden="1"/>
    </xf>
    <xf numFmtId="0" fontId="78" fillId="24" borderId="0" xfId="0" applyFont="1" applyFill="1" applyAlignment="1" applyProtection="1">
      <alignment horizontal="left"/>
      <protection hidden="1"/>
    </xf>
    <xf numFmtId="0" fontId="77" fillId="24" borderId="0" xfId="0" applyFont="1" applyFill="1" applyAlignment="1" applyProtection="1">
      <alignment horizontal="center"/>
      <protection hidden="1"/>
    </xf>
    <xf numFmtId="0" fontId="77" fillId="24" borderId="0" xfId="0" applyFont="1" applyFill="1" applyProtection="1">
      <protection hidden="1"/>
    </xf>
    <xf numFmtId="0" fontId="30" fillId="24" borderId="0" xfId="0" applyFont="1" applyFill="1" applyProtection="1">
      <protection hidden="1"/>
    </xf>
    <xf numFmtId="0" fontId="0" fillId="32" borderId="0" xfId="0" applyFill="1" applyProtection="1">
      <protection hidden="1"/>
    </xf>
    <xf numFmtId="0" fontId="2" fillId="32" borderId="0" xfId="0" applyFont="1" applyFill="1" applyProtection="1">
      <protection hidden="1"/>
    </xf>
    <xf numFmtId="0" fontId="77" fillId="32" borderId="0" xfId="0" applyFont="1" applyFill="1" applyProtection="1">
      <protection hidden="1"/>
    </xf>
    <xf numFmtId="0" fontId="30" fillId="32" borderId="0" xfId="0" applyFont="1" applyFill="1" applyProtection="1">
      <protection hidden="1"/>
    </xf>
    <xf numFmtId="0" fontId="47" fillId="28" borderId="0" xfId="0" applyFont="1" applyFill="1" applyAlignment="1" applyProtection="1">
      <alignment vertical="center" wrapText="1"/>
      <protection hidden="1"/>
    </xf>
    <xf numFmtId="0" fontId="47" fillId="32" borderId="0" xfId="0" applyFont="1" applyFill="1" applyAlignment="1" applyProtection="1">
      <alignment vertical="center" wrapText="1"/>
      <protection hidden="1"/>
    </xf>
    <xf numFmtId="0" fontId="47" fillId="24" borderId="0" xfId="0" applyFont="1" applyFill="1" applyAlignment="1" applyProtection="1">
      <alignment vertical="center" wrapText="1"/>
      <protection hidden="1"/>
    </xf>
    <xf numFmtId="0" fontId="76" fillId="24" borderId="0" xfId="41" applyFont="1" applyFill="1" applyAlignment="1" applyProtection="1">
      <alignment horizontal="left"/>
      <protection hidden="1"/>
    </xf>
    <xf numFmtId="0" fontId="38" fillId="24" borderId="0" xfId="41" applyFont="1" applyFill="1" applyAlignment="1" applyProtection="1">
      <alignment horizontal="left"/>
      <protection hidden="1"/>
    </xf>
    <xf numFmtId="0" fontId="38" fillId="24" borderId="0" xfId="36" applyFont="1" applyFill="1" applyBorder="1" applyAlignment="1" applyProtection="1">
      <alignment vertical="center"/>
      <protection hidden="1"/>
    </xf>
    <xf numFmtId="0" fontId="5" fillId="24" borderId="0" xfId="37" applyFont="1" applyFill="1" applyAlignment="1" applyProtection="1">
      <alignment horizontal="left" vertical="center"/>
      <protection hidden="1"/>
    </xf>
    <xf numFmtId="0" fontId="53" fillId="34" borderId="0" xfId="36" applyFont="1" applyFill="1" applyBorder="1" applyAlignment="1" applyProtection="1">
      <alignment vertical="center"/>
      <protection hidden="1"/>
    </xf>
    <xf numFmtId="0" fontId="73" fillId="34" borderId="0" xfId="36" applyFont="1" applyFill="1" applyBorder="1" applyAlignment="1" applyProtection="1">
      <alignment horizontal="left" vertical="center"/>
      <protection hidden="1"/>
    </xf>
    <xf numFmtId="14" fontId="73" fillId="34" borderId="0" xfId="36" applyNumberFormat="1" applyFont="1" applyFill="1" applyBorder="1" applyAlignment="1" applyProtection="1">
      <alignment horizontal="left" vertical="center"/>
      <protection hidden="1"/>
    </xf>
    <xf numFmtId="0" fontId="73" fillId="34" borderId="0" xfId="36" applyFont="1" applyFill="1" applyBorder="1" applyAlignment="1" applyProtection="1">
      <alignment vertical="center"/>
      <protection hidden="1"/>
    </xf>
    <xf numFmtId="0" fontId="73" fillId="34" borderId="0" xfId="36" applyFont="1" applyFill="1" applyBorder="1" applyAlignment="1" applyProtection="1">
      <alignment horizontal="center" vertical="center"/>
      <protection hidden="1"/>
    </xf>
    <xf numFmtId="0" fontId="52" fillId="32" borderId="0" xfId="32" applyFont="1" applyFill="1" applyAlignment="1" applyProtection="1">
      <alignment horizontal="left" vertical="center" wrapText="1"/>
      <protection hidden="1"/>
    </xf>
    <xf numFmtId="0" fontId="52" fillId="32" borderId="0" xfId="32" applyFont="1" applyFill="1" applyAlignment="1" applyProtection="1">
      <alignment vertical="center" wrapText="1"/>
      <protection hidden="1"/>
    </xf>
    <xf numFmtId="0" fontId="39" fillId="0" borderId="12" xfId="41" applyFont="1" applyBorder="1" applyAlignment="1">
      <alignment horizontal="center" vertical="center"/>
    </xf>
    <xf numFmtId="165" fontId="39" fillId="0" borderId="12" xfId="41" applyNumberFormat="1" applyFont="1" applyBorder="1" applyAlignment="1">
      <alignment horizontal="center" vertical="center"/>
    </xf>
    <xf numFmtId="0" fontId="79" fillId="24" borderId="0" xfId="36" applyFont="1" applyFill="1" applyBorder="1" applyAlignment="1" applyProtection="1">
      <alignment horizontal="center" vertical="center"/>
      <protection hidden="1"/>
    </xf>
    <xf numFmtId="0" fontId="39" fillId="24" borderId="15" xfId="40" applyFont="1" applyFill="1" applyBorder="1" applyAlignment="1" applyProtection="1">
      <alignment vertical="center"/>
      <protection hidden="1"/>
    </xf>
    <xf numFmtId="0" fontId="4" fillId="24" borderId="16" xfId="40" applyFont="1" applyFill="1" applyBorder="1" applyAlignment="1" applyProtection="1">
      <alignment horizontal="center" vertical="center"/>
      <protection hidden="1"/>
    </xf>
    <xf numFmtId="0" fontId="39" fillId="24" borderId="17" xfId="40" applyFont="1" applyFill="1" applyBorder="1" applyAlignment="1" applyProtection="1">
      <alignment horizontal="center" vertical="center"/>
      <protection hidden="1"/>
    </xf>
    <xf numFmtId="0" fontId="39" fillId="24" borderId="18" xfId="40" applyFont="1" applyFill="1" applyBorder="1" applyAlignment="1" applyProtection="1">
      <alignment horizontal="center" vertical="center"/>
      <protection hidden="1"/>
    </xf>
    <xf numFmtId="0" fontId="39" fillId="24" borderId="19" xfId="40" applyFont="1" applyFill="1" applyBorder="1" applyAlignment="1" applyProtection="1">
      <alignment horizontal="center" vertical="center"/>
      <protection hidden="1"/>
    </xf>
    <xf numFmtId="0" fontId="4" fillId="24" borderId="0" xfId="40" applyFont="1" applyFill="1" applyBorder="1" applyAlignment="1" applyProtection="1">
      <alignment horizontal="center" vertical="top"/>
      <protection hidden="1"/>
    </xf>
    <xf numFmtId="0" fontId="58" fillId="32" borderId="0" xfId="40" applyFont="1" applyFill="1" applyAlignment="1" applyProtection="1">
      <alignment horizontal="left" vertical="top"/>
      <protection hidden="1"/>
    </xf>
    <xf numFmtId="0" fontId="4" fillId="24" borderId="0" xfId="40" applyFont="1" applyFill="1" applyAlignment="1" applyProtection="1">
      <alignment vertical="top"/>
      <protection hidden="1"/>
    </xf>
    <xf numFmtId="0" fontId="2" fillId="24" borderId="17" xfId="40" applyFont="1" applyFill="1" applyBorder="1" applyAlignment="1" applyProtection="1">
      <alignment vertical="top" wrapText="1"/>
      <protection hidden="1"/>
    </xf>
    <xf numFmtId="0" fontId="2" fillId="24" borderId="18" xfId="40" applyFont="1" applyFill="1" applyBorder="1" applyAlignment="1" applyProtection="1">
      <alignment vertical="top" wrapText="1"/>
      <protection hidden="1"/>
    </xf>
    <xf numFmtId="0" fontId="2" fillId="24" borderId="19" xfId="40" applyFont="1" applyFill="1" applyBorder="1" applyAlignment="1" applyProtection="1">
      <alignment vertical="top" wrapText="1"/>
      <protection hidden="1"/>
    </xf>
    <xf numFmtId="0" fontId="4" fillId="24" borderId="20" xfId="40" applyFont="1" applyFill="1" applyBorder="1" applyAlignment="1" applyProtection="1">
      <alignment horizontal="center" vertical="center"/>
      <protection hidden="1"/>
    </xf>
    <xf numFmtId="0" fontId="2" fillId="0" borderId="0" xfId="39" applyFont="1" applyAlignment="1">
      <alignment horizontal="left"/>
    </xf>
    <xf numFmtId="44" fontId="4" fillId="24" borderId="0" xfId="40" applyNumberFormat="1" applyFont="1" applyFill="1" applyAlignment="1" applyProtection="1">
      <alignment horizontal="left" vertical="center"/>
      <protection hidden="1"/>
    </xf>
    <xf numFmtId="0" fontId="3" fillId="0" borderId="0" xfId="38" applyFont="1" applyAlignment="1">
      <alignment horizontal="left"/>
    </xf>
    <xf numFmtId="0" fontId="9" fillId="0" borderId="0" xfId="38" applyAlignment="1">
      <alignment horizontal="left"/>
    </xf>
    <xf numFmtId="0" fontId="2" fillId="0" borderId="0" xfId="39" applyFont="1" applyAlignment="1">
      <alignment horizontal="right" vertical="center"/>
    </xf>
    <xf numFmtId="0" fontId="2" fillId="0" borderId="0" xfId="39" applyFont="1" applyAlignment="1">
      <alignment horizontal="left" vertical="center"/>
    </xf>
    <xf numFmtId="0" fontId="2" fillId="0" borderId="0" xfId="39" applyFont="1" applyAlignment="1">
      <alignment horizontal="right"/>
    </xf>
    <xf numFmtId="0" fontId="3" fillId="0" borderId="0" xfId="38" applyFont="1" applyAlignment="1">
      <alignment horizontal="right"/>
    </xf>
    <xf numFmtId="8" fontId="9" fillId="0" borderId="0" xfId="38" applyNumberFormat="1" applyAlignment="1">
      <alignment horizontal="right"/>
    </xf>
    <xf numFmtId="0" fontId="2" fillId="24" borderId="12" xfId="40" applyFont="1" applyFill="1" applyBorder="1" applyAlignment="1" applyProtection="1">
      <alignment vertical="center"/>
      <protection hidden="1"/>
    </xf>
    <xf numFmtId="0" fontId="3" fillId="24" borderId="0" xfId="40" applyFont="1" applyFill="1" applyAlignment="1" applyProtection="1">
      <alignment horizontal="right" vertical="center"/>
      <protection hidden="1"/>
    </xf>
    <xf numFmtId="0" fontId="71" fillId="32" borderId="0" xfId="40" applyFont="1" applyFill="1" applyAlignment="1" applyProtection="1">
      <alignment vertical="center" wrapText="1"/>
      <protection hidden="1"/>
    </xf>
    <xf numFmtId="0" fontId="81" fillId="24" borderId="0" xfId="40" applyFont="1" applyFill="1" applyAlignment="1" applyProtection="1">
      <alignment vertical="center"/>
      <protection hidden="1"/>
    </xf>
    <xf numFmtId="0" fontId="75" fillId="32" borderId="0" xfId="40" applyFont="1" applyFill="1" applyAlignment="1" applyProtection="1">
      <alignment vertical="center" wrapText="1"/>
      <protection hidden="1"/>
    </xf>
    <xf numFmtId="8" fontId="4" fillId="24" borderId="0" xfId="40" applyNumberFormat="1" applyFont="1" applyFill="1" applyBorder="1" applyAlignment="1" applyProtection="1">
      <alignment horizontal="right" vertical="center"/>
      <protection hidden="1"/>
    </xf>
    <xf numFmtId="0" fontId="1" fillId="0" borderId="0" xfId="0" applyFont="1" applyAlignment="1">
      <alignment vertical="center"/>
    </xf>
    <xf numFmtId="0" fontId="82" fillId="24" borderId="0" xfId="0" applyFont="1" applyFill="1" applyAlignment="1" applyProtection="1">
      <alignment vertical="center"/>
      <protection hidden="1"/>
    </xf>
    <xf numFmtId="14" fontId="82" fillId="24" borderId="0" xfId="36" applyNumberFormat="1" applyFont="1" applyFill="1" applyBorder="1" applyAlignment="1" applyProtection="1">
      <alignment horizontal="left" vertical="center"/>
      <protection hidden="1"/>
    </xf>
    <xf numFmtId="8" fontId="4" fillId="24" borderId="0" xfId="0" applyNumberFormat="1" applyFont="1" applyFill="1" applyAlignment="1" applyProtection="1">
      <alignment horizontal="right" vertical="center"/>
      <protection hidden="1"/>
    </xf>
    <xf numFmtId="0" fontId="4" fillId="24" borderId="0" xfId="0" applyFont="1" applyFill="1" applyAlignment="1" applyProtection="1">
      <alignment horizontal="right" vertical="center"/>
      <protection hidden="1"/>
    </xf>
    <xf numFmtId="0" fontId="1" fillId="24" borderId="0" xfId="0" applyFont="1" applyFill="1" applyBorder="1" applyAlignment="1" applyProtection="1">
      <alignment horizontal="center" vertical="center"/>
      <protection hidden="1"/>
    </xf>
    <xf numFmtId="8" fontId="4" fillId="24" borderId="0" xfId="0" applyNumberFormat="1" applyFont="1" applyFill="1" applyAlignment="1" applyProtection="1">
      <alignment horizontal="right" vertical="center"/>
      <protection hidden="1"/>
    </xf>
    <xf numFmtId="0" fontId="4" fillId="24" borderId="0" xfId="0" applyFont="1" applyFill="1" applyAlignment="1" applyProtection="1">
      <alignment horizontal="right" vertical="center"/>
      <protection hidden="1"/>
    </xf>
    <xf numFmtId="0" fontId="82" fillId="24" borderId="0" xfId="40" applyFont="1" applyFill="1" applyAlignment="1" applyProtection="1">
      <alignment vertical="center"/>
      <protection hidden="1"/>
    </xf>
    <xf numFmtId="0" fontId="47" fillId="32" borderId="0" xfId="0" applyFont="1" applyFill="1" applyAlignment="1" applyProtection="1">
      <alignment horizontal="left" vertical="center" wrapText="1"/>
      <protection hidden="1"/>
    </xf>
    <xf numFmtId="8" fontId="3" fillId="24" borderId="0" xfId="40" applyNumberFormat="1" applyFont="1" applyFill="1" applyBorder="1" applyAlignment="1" applyProtection="1">
      <alignment horizontal="right" vertical="center"/>
      <protection hidden="1"/>
    </xf>
    <xf numFmtId="0" fontId="47" fillId="32" borderId="0" xfId="40" applyFont="1" applyFill="1" applyAlignment="1" applyProtection="1">
      <alignment horizontal="left" vertical="center" wrapText="1"/>
      <protection hidden="1"/>
    </xf>
    <xf numFmtId="0" fontId="1" fillId="0" borderId="0" xfId="0" applyFont="1" applyAlignment="1">
      <alignment horizontal="left" vertical="center"/>
    </xf>
    <xf numFmtId="0" fontId="1" fillId="24" borderId="0" xfId="40" applyFont="1" applyFill="1" applyAlignment="1" applyProtection="1">
      <alignment vertical="center"/>
      <protection hidden="1"/>
    </xf>
    <xf numFmtId="0" fontId="3" fillId="24" borderId="10" xfId="40" applyFont="1" applyFill="1" applyBorder="1" applyAlignment="1" applyProtection="1">
      <alignment horizontal="center" vertical="center"/>
      <protection hidden="1"/>
    </xf>
    <xf numFmtId="0" fontId="58" fillId="32" borderId="0" xfId="0" applyFont="1" applyFill="1" applyAlignment="1" applyProtection="1">
      <alignment horizontal="left" vertical="center" wrapText="1"/>
      <protection hidden="1"/>
    </xf>
    <xf numFmtId="0" fontId="36" fillId="24" borderId="10" xfId="0" applyFont="1" applyFill="1" applyBorder="1" applyAlignment="1" applyProtection="1">
      <alignment vertical="center"/>
      <protection hidden="1"/>
    </xf>
    <xf numFmtId="0" fontId="2" fillId="0" borderId="0" xfId="41" applyFont="1" applyAlignment="1">
      <alignment horizontal="center" vertical="center"/>
    </xf>
    <xf numFmtId="0" fontId="2" fillId="0" borderId="10" xfId="41" applyFont="1" applyBorder="1" applyAlignment="1">
      <alignment horizontal="left" vertical="center"/>
    </xf>
    <xf numFmtId="0" fontId="2" fillId="0" borderId="0" xfId="41" applyFont="1" applyAlignment="1">
      <alignment horizontal="left" vertical="center"/>
    </xf>
    <xf numFmtId="0" fontId="2" fillId="0" borderId="0" xfId="40" applyFont="1" applyAlignment="1">
      <alignment horizontal="left"/>
    </xf>
    <xf numFmtId="0" fontId="2" fillId="0" borderId="0" xfId="36" applyFont="1" applyAlignment="1">
      <alignment horizontal="left"/>
    </xf>
    <xf numFmtId="8" fontId="1" fillId="30" borderId="0" xfId="0" applyNumberFormat="1" applyFont="1" applyFill="1" applyAlignment="1" applyProtection="1">
      <alignment horizontal="right" vertical="center"/>
      <protection locked="0" hidden="1"/>
    </xf>
    <xf numFmtId="0" fontId="5" fillId="30" borderId="0" xfId="0" applyFont="1" applyFill="1" applyAlignment="1" applyProtection="1">
      <alignment horizontal="left" vertical="center"/>
      <protection locked="0" hidden="1"/>
    </xf>
    <xf numFmtId="0" fontId="6" fillId="30" borderId="0" xfId="0" applyFont="1" applyFill="1" applyAlignment="1" applyProtection="1">
      <alignment horizontal="left" vertical="center"/>
      <protection locked="0" hidden="1"/>
    </xf>
    <xf numFmtId="8" fontId="3" fillId="24" borderId="0" xfId="0" applyNumberFormat="1" applyFont="1" applyFill="1" applyAlignment="1" applyProtection="1">
      <alignment horizontal="right" vertical="center"/>
      <protection hidden="1"/>
    </xf>
    <xf numFmtId="0" fontId="3" fillId="24" borderId="0" xfId="0" applyFont="1" applyFill="1" applyAlignment="1" applyProtection="1">
      <alignment horizontal="right" vertical="center"/>
      <protection hidden="1"/>
    </xf>
    <xf numFmtId="0" fontId="1" fillId="24" borderId="0" xfId="0" applyFont="1" applyFill="1" applyAlignment="1" applyProtection="1">
      <alignment horizontal="center" vertical="center"/>
      <protection hidden="1"/>
    </xf>
    <xf numFmtId="8" fontId="1" fillId="30" borderId="10" xfId="0" applyNumberFormat="1" applyFont="1" applyFill="1" applyBorder="1" applyAlignment="1" applyProtection="1">
      <alignment horizontal="right" vertical="center"/>
      <protection locked="0" hidden="1"/>
    </xf>
    <xf numFmtId="8" fontId="36" fillId="24" borderId="0" xfId="0" applyNumberFormat="1" applyFont="1" applyFill="1" applyAlignment="1" applyProtection="1">
      <alignment horizontal="right" vertical="center"/>
      <protection hidden="1"/>
    </xf>
    <xf numFmtId="0" fontId="36" fillId="24" borderId="0" xfId="0" applyFont="1" applyFill="1" applyAlignment="1" applyProtection="1">
      <alignment horizontal="right" vertical="center"/>
      <protection hidden="1"/>
    </xf>
    <xf numFmtId="0" fontId="35" fillId="35" borderId="0" xfId="37" applyFont="1" applyFill="1" applyAlignment="1" applyProtection="1">
      <alignment horizontal="left" vertical="center"/>
      <protection locked="0" hidden="1"/>
    </xf>
    <xf numFmtId="8" fontId="1" fillId="24" borderId="0" xfId="0" applyNumberFormat="1" applyFont="1" applyFill="1" applyAlignment="1" applyProtection="1">
      <alignment horizontal="right" vertical="center"/>
      <protection hidden="1"/>
    </xf>
    <xf numFmtId="0" fontId="1" fillId="24" borderId="0" xfId="0" applyFont="1" applyFill="1" applyProtection="1">
      <protection hidden="1"/>
    </xf>
    <xf numFmtId="8" fontId="36" fillId="24" borderId="0" xfId="0" applyNumberFormat="1" applyFont="1" applyFill="1" applyBorder="1" applyAlignment="1" applyProtection="1">
      <alignment horizontal="right" vertical="center"/>
      <protection hidden="1"/>
    </xf>
    <xf numFmtId="0" fontId="5" fillId="30" borderId="0" xfId="37" applyFont="1" applyFill="1" applyAlignment="1" applyProtection="1">
      <alignment horizontal="left" vertical="center"/>
      <protection locked="0" hidden="1"/>
    </xf>
    <xf numFmtId="0" fontId="26" fillId="30" borderId="0" xfId="37" applyFont="1" applyFill="1" applyAlignment="1" applyProtection="1">
      <alignment horizontal="left" vertical="center"/>
      <protection locked="0" hidden="1"/>
    </xf>
    <xf numFmtId="8" fontId="26" fillId="24" borderId="0" xfId="37" applyNumberFormat="1" applyFont="1" applyFill="1" applyAlignment="1" applyProtection="1">
      <alignment horizontal="left" vertical="center"/>
      <protection hidden="1"/>
    </xf>
    <xf numFmtId="8" fontId="36" fillId="24" borderId="10" xfId="0" applyNumberFormat="1" applyFont="1" applyFill="1" applyBorder="1" applyAlignment="1" applyProtection="1">
      <alignment horizontal="right" vertical="center"/>
      <protection hidden="1"/>
    </xf>
    <xf numFmtId="0" fontId="36" fillId="24" borderId="10" xfId="0" applyFont="1" applyFill="1" applyBorder="1" applyAlignment="1" applyProtection="1">
      <alignment horizontal="right" vertical="center"/>
      <protection hidden="1"/>
    </xf>
    <xf numFmtId="8" fontId="37" fillId="24" borderId="0" xfId="37" applyNumberFormat="1" applyFont="1" applyFill="1" applyBorder="1" applyAlignment="1" applyProtection="1">
      <alignment horizontal="right" vertical="center"/>
      <protection hidden="1"/>
    </xf>
    <xf numFmtId="8" fontId="1" fillId="24" borderId="10" xfId="0" applyNumberFormat="1" applyFont="1" applyFill="1" applyBorder="1" applyAlignment="1" applyProtection="1">
      <alignment horizontal="right" vertical="center"/>
      <protection hidden="1"/>
    </xf>
    <xf numFmtId="0" fontId="47" fillId="32" borderId="0" xfId="0" applyFont="1" applyFill="1" applyAlignment="1" applyProtection="1">
      <alignment horizontal="left" vertical="center" wrapText="1"/>
      <protection hidden="1"/>
    </xf>
    <xf numFmtId="8" fontId="4" fillId="24" borderId="0" xfId="0" applyNumberFormat="1" applyFont="1" applyFill="1" applyAlignment="1" applyProtection="1">
      <alignment horizontal="right" vertical="center"/>
      <protection hidden="1"/>
    </xf>
    <xf numFmtId="0" fontId="4" fillId="24" borderId="0" xfId="0" applyFont="1" applyFill="1" applyAlignment="1" applyProtection="1">
      <alignment horizontal="right" vertical="center"/>
      <protection hidden="1"/>
    </xf>
    <xf numFmtId="0" fontId="60" fillId="32" borderId="0" xfId="0" applyFont="1" applyFill="1" applyAlignment="1" applyProtection="1">
      <alignment horizontal="left" vertical="center" wrapText="1"/>
      <protection hidden="1"/>
    </xf>
    <xf numFmtId="0" fontId="58" fillId="32" borderId="0" xfId="0" applyFont="1" applyFill="1" applyAlignment="1" applyProtection="1">
      <alignment horizontal="left" vertical="center" wrapText="1"/>
      <protection hidden="1"/>
    </xf>
    <xf numFmtId="8" fontId="48" fillId="28" borderId="21" xfId="0" applyNumberFormat="1" applyFont="1" applyFill="1" applyBorder="1" applyAlignment="1" applyProtection="1">
      <alignment horizontal="right" vertical="center"/>
      <protection hidden="1"/>
    </xf>
    <xf numFmtId="0" fontId="48" fillId="28" borderId="22" xfId="0" applyFont="1" applyFill="1" applyBorder="1" applyAlignment="1" applyProtection="1">
      <alignment horizontal="right" vertical="center"/>
      <protection hidden="1"/>
    </xf>
    <xf numFmtId="0" fontId="48" fillId="28" borderId="23" xfId="0" applyFont="1" applyFill="1" applyBorder="1" applyAlignment="1" applyProtection="1">
      <alignment horizontal="right" vertical="center"/>
      <protection hidden="1"/>
    </xf>
    <xf numFmtId="8" fontId="26" fillId="24" borderId="0" xfId="37" applyNumberFormat="1" applyFont="1" applyFill="1" applyBorder="1" applyAlignment="1" applyProtection="1">
      <alignment horizontal="right" vertical="center"/>
      <protection hidden="1"/>
    </xf>
    <xf numFmtId="8" fontId="26" fillId="24" borderId="0" xfId="37" applyNumberFormat="1" applyFont="1" applyFill="1" applyAlignment="1" applyProtection="1">
      <alignment horizontal="right" vertical="center"/>
      <protection hidden="1"/>
    </xf>
    <xf numFmtId="8" fontId="4" fillId="24" borderId="0" xfId="37" applyNumberFormat="1" applyFont="1" applyFill="1" applyAlignment="1" applyProtection="1">
      <alignment horizontal="right" vertical="center"/>
      <protection hidden="1"/>
    </xf>
    <xf numFmtId="0" fontId="51" fillId="30" borderId="0" xfId="0" applyFont="1" applyFill="1" applyAlignment="1" applyProtection="1">
      <alignment horizontal="left" vertical="center"/>
      <protection locked="0" hidden="1"/>
    </xf>
    <xf numFmtId="0" fontId="83" fillId="32" borderId="0" xfId="0" applyFont="1" applyFill="1" applyAlignment="1" applyProtection="1">
      <alignment horizontal="left" vertical="center" wrapText="1"/>
      <protection hidden="1"/>
    </xf>
    <xf numFmtId="0" fontId="58" fillId="32" borderId="0" xfId="0" applyFont="1" applyFill="1" applyAlignment="1" applyProtection="1">
      <alignment horizontal="left" vertical="top" wrapText="1"/>
      <protection hidden="1"/>
    </xf>
    <xf numFmtId="0" fontId="52" fillId="28" borderId="0" xfId="32" applyNumberFormat="1" applyFont="1" applyFill="1" applyBorder="1" applyAlignment="1" applyProtection="1">
      <alignment horizontal="center" vertical="center"/>
      <protection hidden="1"/>
    </xf>
    <xf numFmtId="14" fontId="47" fillId="28" borderId="0" xfId="0" applyNumberFormat="1" applyFont="1" applyFill="1" applyBorder="1" applyAlignment="1" applyProtection="1">
      <alignment horizontal="left" vertical="center"/>
      <protection hidden="1"/>
    </xf>
    <xf numFmtId="0" fontId="47" fillId="28" borderId="0" xfId="0" applyNumberFormat="1" applyFont="1" applyFill="1" applyBorder="1" applyAlignment="1" applyProtection="1">
      <alignment horizontal="left" vertical="center"/>
      <protection hidden="1"/>
    </xf>
    <xf numFmtId="0" fontId="35" fillId="24" borderId="0" xfId="37" applyFont="1" applyFill="1" applyAlignment="1" applyProtection="1">
      <alignment horizontal="left" vertical="center"/>
      <protection hidden="1"/>
    </xf>
    <xf numFmtId="14" fontId="51" fillId="30" borderId="0" xfId="0" applyNumberFormat="1" applyFont="1" applyFill="1" applyAlignment="1" applyProtection="1">
      <alignment horizontal="left" vertical="center"/>
      <protection locked="0" hidden="1"/>
    </xf>
    <xf numFmtId="14" fontId="3" fillId="24" borderId="0" xfId="0" applyNumberFormat="1" applyFont="1" applyFill="1" applyAlignment="1" applyProtection="1">
      <alignment horizontal="left" vertical="center"/>
      <protection locked="0"/>
    </xf>
    <xf numFmtId="14" fontId="3" fillId="24" borderId="0" xfId="0" applyNumberFormat="1" applyFont="1" applyFill="1" applyAlignment="1" applyProtection="1">
      <alignment horizontal="center" vertical="center"/>
      <protection locked="0"/>
    </xf>
    <xf numFmtId="14" fontId="3" fillId="24" borderId="0" xfId="36" applyNumberFormat="1" applyFont="1" applyFill="1" applyBorder="1" applyAlignment="1" applyProtection="1">
      <alignment horizontal="center" vertical="center"/>
      <protection hidden="1"/>
    </xf>
    <xf numFmtId="0" fontId="58" fillId="32" borderId="0" xfId="36" applyFont="1" applyFill="1" applyBorder="1" applyAlignment="1" applyProtection="1">
      <alignment horizontal="left" vertical="center" wrapText="1"/>
      <protection hidden="1"/>
    </xf>
    <xf numFmtId="0" fontId="45" fillId="34" borderId="0" xfId="0" applyFont="1" applyFill="1" applyAlignment="1" applyProtection="1">
      <alignment horizontal="left" vertical="center"/>
      <protection hidden="1"/>
    </xf>
    <xf numFmtId="0" fontId="47" fillId="32" borderId="0" xfId="36" applyFont="1" applyFill="1" applyBorder="1" applyAlignment="1" applyProtection="1">
      <alignment horizontal="left" vertical="center" wrapText="1"/>
      <protection hidden="1"/>
    </xf>
    <xf numFmtId="0" fontId="61" fillId="32" borderId="0" xfId="36" applyFont="1" applyFill="1" applyBorder="1" applyAlignment="1" applyProtection="1">
      <alignment horizontal="left" vertical="center" wrapText="1"/>
      <protection hidden="1"/>
    </xf>
    <xf numFmtId="8" fontId="4" fillId="24" borderId="10" xfId="40" applyNumberFormat="1" applyFont="1" applyFill="1" applyBorder="1" applyAlignment="1" applyProtection="1">
      <alignment horizontal="right" vertical="center"/>
      <protection hidden="1"/>
    </xf>
    <xf numFmtId="8" fontId="3" fillId="24" borderId="0" xfId="40" applyNumberFormat="1" applyFont="1" applyFill="1" applyBorder="1" applyAlignment="1" applyProtection="1">
      <alignment horizontal="right" vertical="center"/>
      <protection hidden="1"/>
    </xf>
    <xf numFmtId="0" fontId="39" fillId="24" borderId="13" xfId="40" applyFont="1" applyFill="1" applyBorder="1" applyAlignment="1" applyProtection="1">
      <alignment horizontal="center" vertical="center"/>
      <protection hidden="1"/>
    </xf>
    <xf numFmtId="0" fontId="39" fillId="24" borderId="10" xfId="40" applyFont="1" applyFill="1" applyBorder="1" applyAlignment="1" applyProtection="1">
      <alignment horizontal="center" vertical="center"/>
      <protection hidden="1"/>
    </xf>
    <xf numFmtId="0" fontId="39" fillId="24" borderId="19" xfId="40" applyFont="1" applyFill="1" applyBorder="1" applyAlignment="1" applyProtection="1">
      <alignment horizontal="center" vertical="center"/>
      <protection hidden="1"/>
    </xf>
    <xf numFmtId="0" fontId="39" fillId="24" borderId="13" xfId="40" applyFont="1" applyFill="1" applyBorder="1" applyAlignment="1" applyProtection="1">
      <alignment horizontal="left" vertical="center"/>
      <protection hidden="1"/>
    </xf>
    <xf numFmtId="0" fontId="39" fillId="24" borderId="10" xfId="40" applyFont="1" applyFill="1" applyBorder="1" applyAlignment="1" applyProtection="1">
      <alignment horizontal="left" vertical="center"/>
      <protection hidden="1"/>
    </xf>
    <xf numFmtId="0" fontId="39" fillId="24" borderId="32" xfId="40" applyFont="1" applyFill="1" applyBorder="1" applyAlignment="1" applyProtection="1">
      <alignment horizontal="left" vertical="center"/>
      <protection hidden="1"/>
    </xf>
    <xf numFmtId="0" fontId="47" fillId="32" borderId="0" xfId="40" applyFont="1" applyFill="1" applyAlignment="1" applyProtection="1">
      <alignment horizontal="left" vertical="center" wrapText="1"/>
      <protection hidden="1"/>
    </xf>
    <xf numFmtId="0" fontId="2" fillId="24" borderId="24" xfId="40" applyFont="1" applyFill="1" applyBorder="1" applyAlignment="1" applyProtection="1">
      <alignment horizontal="right" vertical="top" wrapText="1"/>
      <protection hidden="1"/>
    </xf>
    <xf numFmtId="0" fontId="2" fillId="24" borderId="25" xfId="40" applyFont="1" applyFill="1" applyBorder="1" applyAlignment="1" applyProtection="1">
      <alignment horizontal="right" vertical="top" wrapText="1"/>
      <protection hidden="1"/>
    </xf>
    <xf numFmtId="0" fontId="2" fillId="24" borderId="26" xfId="40" applyFont="1" applyFill="1" applyBorder="1" applyAlignment="1" applyProtection="1">
      <alignment horizontal="right" vertical="top" wrapText="1"/>
      <protection hidden="1"/>
    </xf>
    <xf numFmtId="0" fontId="2" fillId="24" borderId="0" xfId="40" applyFont="1" applyFill="1" applyBorder="1" applyAlignment="1" applyProtection="1">
      <alignment horizontal="right" vertical="top" wrapText="1"/>
      <protection hidden="1"/>
    </xf>
    <xf numFmtId="0" fontId="2" fillId="24" borderId="13" xfId="40" applyFont="1" applyFill="1" applyBorder="1" applyAlignment="1" applyProtection="1">
      <alignment horizontal="right" vertical="top" wrapText="1"/>
      <protection hidden="1"/>
    </xf>
    <xf numFmtId="0" fontId="2" fillId="24" borderId="10" xfId="40" applyFont="1" applyFill="1" applyBorder="1" applyAlignment="1" applyProtection="1">
      <alignment horizontal="right" vertical="top" wrapText="1"/>
      <protection hidden="1"/>
    </xf>
    <xf numFmtId="0" fontId="71" fillId="32" borderId="0" xfId="40" applyFont="1" applyFill="1" applyAlignment="1" applyProtection="1">
      <alignment horizontal="left" vertical="center" wrapText="1"/>
      <protection hidden="1"/>
    </xf>
    <xf numFmtId="0" fontId="47" fillId="32" borderId="0" xfId="40" applyFont="1" applyFill="1" applyAlignment="1" applyProtection="1">
      <alignment horizontal="left" vertical="top" wrapText="1"/>
      <protection hidden="1"/>
    </xf>
    <xf numFmtId="8" fontId="4" fillId="24" borderId="0" xfId="40" applyNumberFormat="1" applyFont="1" applyFill="1" applyBorder="1" applyAlignment="1" applyProtection="1">
      <alignment horizontal="right" vertical="center"/>
      <protection hidden="1"/>
    </xf>
    <xf numFmtId="0" fontId="45" fillId="33" borderId="0" xfId="0" applyFont="1" applyFill="1" applyAlignment="1" applyProtection="1">
      <alignment horizontal="left" vertical="center"/>
      <protection hidden="1"/>
    </xf>
    <xf numFmtId="0" fontId="59" fillId="30" borderId="12" xfId="40" applyFont="1" applyFill="1" applyBorder="1" applyAlignment="1" applyProtection="1">
      <alignment horizontal="left" vertical="center"/>
      <protection locked="0" hidden="1"/>
    </xf>
    <xf numFmtId="166" fontId="5" fillId="30" borderId="12" xfId="40" applyNumberFormat="1" applyFont="1" applyFill="1" applyBorder="1" applyAlignment="1" applyProtection="1">
      <alignment horizontal="center" vertical="center"/>
      <protection locked="0" hidden="1"/>
    </xf>
    <xf numFmtId="167" fontId="4" fillId="24" borderId="12" xfId="40" applyNumberFormat="1" applyFont="1" applyFill="1" applyBorder="1" applyAlignment="1" applyProtection="1">
      <alignment horizontal="center" vertical="center"/>
      <protection hidden="1"/>
    </xf>
    <xf numFmtId="4" fontId="2" fillId="24" borderId="12" xfId="40" applyNumberFormat="1" applyFont="1" applyFill="1" applyBorder="1" applyAlignment="1" applyProtection="1">
      <alignment vertical="center"/>
      <protection hidden="1"/>
    </xf>
    <xf numFmtId="167" fontId="5" fillId="30" borderId="12" xfId="40" applyNumberFormat="1" applyFont="1" applyFill="1" applyBorder="1" applyAlignment="1" applyProtection="1">
      <alignment horizontal="center" vertical="center"/>
      <protection locked="0" hidden="1"/>
    </xf>
    <xf numFmtId="8" fontId="4" fillId="24" borderId="27" xfId="40" applyNumberFormat="1" applyFont="1" applyFill="1" applyBorder="1" applyAlignment="1" applyProtection="1">
      <alignment horizontal="right" vertical="center"/>
      <protection hidden="1"/>
    </xf>
    <xf numFmtId="8" fontId="4" fillId="24" borderId="28" xfId="40" applyNumberFormat="1" applyFont="1" applyFill="1" applyBorder="1" applyAlignment="1" applyProtection="1">
      <alignment horizontal="right" vertical="center"/>
      <protection hidden="1"/>
    </xf>
    <xf numFmtId="0" fontId="4" fillId="24" borderId="26" xfId="40" applyFont="1" applyFill="1" applyBorder="1" applyAlignment="1" applyProtection="1">
      <alignment horizontal="right" vertical="center"/>
      <protection hidden="1"/>
    </xf>
    <xf numFmtId="0" fontId="4" fillId="24" borderId="0" xfId="40" applyFont="1" applyFill="1" applyBorder="1" applyAlignment="1" applyProtection="1">
      <alignment horizontal="right" vertical="center"/>
      <protection hidden="1"/>
    </xf>
    <xf numFmtId="0" fontId="59" fillId="30" borderId="27" xfId="40" applyFont="1" applyFill="1" applyBorder="1" applyAlignment="1" applyProtection="1">
      <alignment horizontal="left" vertical="center"/>
      <protection locked="0" hidden="1"/>
    </xf>
    <xf numFmtId="0" fontId="59" fillId="30" borderId="28" xfId="40" applyFont="1" applyFill="1" applyBorder="1" applyAlignment="1" applyProtection="1">
      <alignment horizontal="left" vertical="center"/>
      <protection locked="0" hidden="1"/>
    </xf>
    <xf numFmtId="8" fontId="5" fillId="30" borderId="27" xfId="40" applyNumberFormat="1" applyFont="1" applyFill="1" applyBorder="1" applyAlignment="1" applyProtection="1">
      <alignment horizontal="center" vertical="center"/>
      <protection locked="0" hidden="1"/>
    </xf>
    <xf numFmtId="8" fontId="5" fillId="30" borderId="20" xfId="40" applyNumberFormat="1" applyFont="1" applyFill="1" applyBorder="1" applyAlignment="1" applyProtection="1">
      <alignment horizontal="center" vertical="center"/>
      <protection locked="0" hidden="1"/>
    </xf>
    <xf numFmtId="0" fontId="39" fillId="24" borderId="26" xfId="40" applyFont="1" applyFill="1" applyBorder="1" applyAlignment="1" applyProtection="1">
      <alignment horizontal="left" vertical="center"/>
      <protection hidden="1"/>
    </xf>
    <xf numFmtId="0" fontId="39" fillId="24" borderId="0" xfId="40" applyFont="1" applyFill="1" applyBorder="1" applyAlignment="1" applyProtection="1">
      <alignment horizontal="left" vertical="center"/>
      <protection hidden="1"/>
    </xf>
    <xf numFmtId="0" fontId="39" fillId="24" borderId="26" xfId="40" applyFont="1" applyFill="1" applyBorder="1" applyAlignment="1" applyProtection="1">
      <alignment horizontal="center" vertical="center"/>
      <protection hidden="1"/>
    </xf>
    <xf numFmtId="0" fontId="39" fillId="24" borderId="0" xfId="40" applyFont="1" applyFill="1" applyBorder="1" applyAlignment="1" applyProtection="1">
      <alignment horizontal="center" vertical="center"/>
      <protection hidden="1"/>
    </xf>
    <xf numFmtId="0" fontId="39" fillId="24" borderId="18" xfId="40" applyFont="1" applyFill="1" applyBorder="1" applyAlignment="1" applyProtection="1">
      <alignment horizontal="center" vertical="center"/>
      <protection hidden="1"/>
    </xf>
    <xf numFmtId="0" fontId="2" fillId="24" borderId="26" xfId="40" applyFont="1" applyFill="1" applyBorder="1" applyAlignment="1" applyProtection="1">
      <alignment horizontal="left" vertical="center"/>
      <protection hidden="1"/>
    </xf>
    <xf numFmtId="0" fontId="39" fillId="24" borderId="29" xfId="40" applyFont="1" applyFill="1" applyBorder="1" applyAlignment="1" applyProtection="1">
      <alignment horizontal="left" vertical="center"/>
      <protection hidden="1"/>
    </xf>
    <xf numFmtId="0" fontId="39" fillId="24" borderId="30" xfId="40" applyFont="1" applyFill="1" applyBorder="1" applyAlignment="1" applyProtection="1">
      <alignment horizontal="center" vertical="center"/>
      <protection hidden="1"/>
    </xf>
    <xf numFmtId="0" fontId="39" fillId="24" borderId="31" xfId="40" applyFont="1" applyFill="1" applyBorder="1" applyAlignment="1" applyProtection="1">
      <alignment horizontal="center" vertical="center"/>
      <protection hidden="1"/>
    </xf>
    <xf numFmtId="0" fontId="39" fillId="24" borderId="24" xfId="40" applyFont="1" applyFill="1" applyBorder="1" applyAlignment="1" applyProtection="1">
      <alignment horizontal="left" vertical="center"/>
      <protection hidden="1"/>
    </xf>
    <xf numFmtId="0" fontId="39" fillId="24" borderId="25" xfId="40" applyFont="1" applyFill="1" applyBorder="1" applyAlignment="1" applyProtection="1">
      <alignment horizontal="left" vertical="center"/>
      <protection hidden="1"/>
    </xf>
    <xf numFmtId="0" fontId="39" fillId="24" borderId="24" xfId="40" applyFont="1" applyFill="1" applyBorder="1" applyAlignment="1" applyProtection="1">
      <alignment horizontal="center" vertical="center"/>
      <protection hidden="1"/>
    </xf>
    <xf numFmtId="0" fontId="39" fillId="24" borderId="25" xfId="40" applyFont="1" applyFill="1" applyBorder="1" applyAlignment="1" applyProtection="1">
      <alignment horizontal="center" vertical="center"/>
      <protection hidden="1"/>
    </xf>
    <xf numFmtId="0" fontId="39" fillId="24" borderId="17" xfId="40" applyFont="1" applyFill="1" applyBorder="1" applyAlignment="1" applyProtection="1">
      <alignment horizontal="center" vertical="center"/>
      <protection hidden="1"/>
    </xf>
    <xf numFmtId="0" fontId="2" fillId="24" borderId="24" xfId="40" applyFont="1" applyFill="1" applyBorder="1" applyAlignment="1" applyProtection="1">
      <alignment horizontal="left" vertical="center"/>
      <protection hidden="1"/>
    </xf>
    <xf numFmtId="0" fontId="39" fillId="24" borderId="31" xfId="40" applyFont="1" applyFill="1" applyBorder="1" applyAlignment="1" applyProtection="1">
      <alignment horizontal="left" vertical="center"/>
      <protection hidden="1"/>
    </xf>
    <xf numFmtId="0" fontId="59" fillId="30" borderId="20" xfId="40" applyFont="1" applyFill="1" applyBorder="1" applyAlignment="1" applyProtection="1">
      <alignment horizontal="left" vertical="center"/>
      <protection locked="0" hidden="1"/>
    </xf>
    <xf numFmtId="0" fontId="39" fillId="24" borderId="33" xfId="40" applyFont="1" applyFill="1" applyBorder="1" applyAlignment="1" applyProtection="1">
      <alignment horizontal="center" vertical="center"/>
      <protection hidden="1"/>
    </xf>
    <xf numFmtId="0" fontId="39" fillId="24" borderId="32" xfId="40" applyFont="1" applyFill="1" applyBorder="1" applyAlignment="1" applyProtection="1">
      <alignment horizontal="center" vertical="center"/>
      <protection hidden="1"/>
    </xf>
    <xf numFmtId="0" fontId="2" fillId="30" borderId="27" xfId="40" applyFont="1" applyFill="1" applyBorder="1" applyAlignment="1" applyProtection="1">
      <alignment horizontal="left" vertical="center"/>
      <protection hidden="1"/>
    </xf>
    <xf numFmtId="0" fontId="2" fillId="30" borderId="28" xfId="40" applyFont="1" applyFill="1" applyBorder="1" applyAlignment="1" applyProtection="1">
      <alignment horizontal="left" vertical="center"/>
      <protection hidden="1"/>
    </xf>
    <xf numFmtId="0" fontId="2" fillId="30" borderId="20" xfId="40" applyFont="1" applyFill="1" applyBorder="1" applyAlignment="1" applyProtection="1">
      <alignment horizontal="left" vertical="center"/>
      <protection hidden="1"/>
    </xf>
    <xf numFmtId="44" fontId="4" fillId="24" borderId="0" xfId="40" applyNumberFormat="1" applyFont="1" applyFill="1" applyAlignment="1" applyProtection="1">
      <alignment horizontal="left" vertical="center"/>
      <protection hidden="1"/>
    </xf>
    <xf numFmtId="0" fontId="2" fillId="24" borderId="24" xfId="40" applyFont="1" applyFill="1" applyBorder="1" applyAlignment="1" applyProtection="1">
      <alignment horizontal="left" vertical="top"/>
      <protection hidden="1"/>
    </xf>
    <xf numFmtId="0" fontId="2" fillId="24" borderId="25" xfId="40" applyFont="1" applyFill="1" applyBorder="1" applyAlignment="1" applyProtection="1">
      <alignment horizontal="left" vertical="top"/>
      <protection hidden="1"/>
    </xf>
    <xf numFmtId="0" fontId="2" fillId="24" borderId="17" xfId="40" applyFont="1" applyFill="1" applyBorder="1" applyAlignment="1" applyProtection="1">
      <alignment horizontal="left" vertical="top"/>
      <protection hidden="1"/>
    </xf>
    <xf numFmtId="0" fontId="2" fillId="24" borderId="26" xfId="40" applyFont="1" applyFill="1" applyBorder="1" applyAlignment="1" applyProtection="1">
      <alignment horizontal="left" vertical="top"/>
      <protection hidden="1"/>
    </xf>
    <xf numFmtId="0" fontId="2" fillId="24" borderId="0" xfId="40" applyFont="1" applyFill="1" applyBorder="1" applyAlignment="1" applyProtection="1">
      <alignment horizontal="left" vertical="top"/>
      <protection hidden="1"/>
    </xf>
    <xf numFmtId="0" fontId="2" fillId="24" borderId="18" xfId="40" applyFont="1" applyFill="1" applyBorder="1" applyAlignment="1" applyProtection="1">
      <alignment horizontal="left" vertical="top"/>
      <protection hidden="1"/>
    </xf>
    <xf numFmtId="0" fontId="2" fillId="24" borderId="13" xfId="40" applyFont="1" applyFill="1" applyBorder="1" applyAlignment="1" applyProtection="1">
      <alignment horizontal="left" vertical="top"/>
      <protection hidden="1"/>
    </xf>
    <xf numFmtId="0" fontId="2" fillId="24" borderId="10" xfId="40" applyFont="1" applyFill="1" applyBorder="1" applyAlignment="1" applyProtection="1">
      <alignment horizontal="left" vertical="top"/>
      <protection hidden="1"/>
    </xf>
    <xf numFmtId="0" fontId="2" fillId="24" borderId="19" xfId="40" applyFont="1" applyFill="1" applyBorder="1" applyAlignment="1" applyProtection="1">
      <alignment horizontal="left" vertical="top"/>
      <protection hidden="1"/>
    </xf>
    <xf numFmtId="0" fontId="2" fillId="24" borderId="12" xfId="40" applyFont="1" applyFill="1" applyBorder="1" applyAlignment="1" applyProtection="1">
      <alignment horizontal="left" vertical="top" wrapText="1"/>
      <protection hidden="1"/>
    </xf>
    <xf numFmtId="0" fontId="2" fillId="24" borderId="12" xfId="40" applyFont="1" applyFill="1" applyBorder="1" applyAlignment="1" applyProtection="1">
      <alignment horizontal="center" vertical="top" wrapText="1"/>
      <protection hidden="1"/>
    </xf>
    <xf numFmtId="0" fontId="39" fillId="24" borderId="34" xfId="40" applyFont="1" applyFill="1" applyBorder="1" applyAlignment="1" applyProtection="1">
      <alignment horizontal="center" vertical="center"/>
      <protection hidden="1"/>
    </xf>
    <xf numFmtId="0" fontId="39" fillId="24" borderId="29" xfId="40" applyFont="1" applyFill="1" applyBorder="1" applyAlignment="1" applyProtection="1">
      <alignment horizontal="center" vertical="center"/>
      <protection hidden="1"/>
    </xf>
    <xf numFmtId="0" fontId="2" fillId="24" borderId="12" xfId="40" applyFont="1" applyFill="1" applyBorder="1" applyAlignment="1" applyProtection="1">
      <alignment horizontal="left" vertical="top"/>
      <protection hidden="1"/>
    </xf>
    <xf numFmtId="0" fontId="59" fillId="30" borderId="37" xfId="40" applyFont="1" applyFill="1" applyBorder="1" applyAlignment="1" applyProtection="1">
      <alignment horizontal="left" vertical="center"/>
      <protection locked="0" hidden="1"/>
    </xf>
    <xf numFmtId="0" fontId="59" fillId="30" borderId="38" xfId="40" applyFont="1" applyFill="1" applyBorder="1" applyAlignment="1" applyProtection="1">
      <alignment horizontal="left" vertical="center"/>
      <protection locked="0" hidden="1"/>
    </xf>
    <xf numFmtId="166" fontId="5" fillId="30" borderId="27" xfId="40" applyNumberFormat="1" applyFont="1" applyFill="1" applyBorder="1" applyAlignment="1" applyProtection="1">
      <alignment horizontal="center" vertical="center"/>
      <protection locked="0" hidden="1"/>
    </xf>
    <xf numFmtId="166" fontId="5" fillId="30" borderId="28" xfId="40" applyNumberFormat="1" applyFont="1" applyFill="1" applyBorder="1" applyAlignment="1" applyProtection="1">
      <alignment horizontal="center" vertical="center"/>
      <protection locked="0" hidden="1"/>
    </xf>
    <xf numFmtId="167" fontId="4" fillId="24" borderId="39" xfId="40" applyNumberFormat="1" applyFont="1" applyFill="1" applyBorder="1" applyAlignment="1" applyProtection="1">
      <alignment horizontal="center" vertical="center"/>
      <protection hidden="1"/>
    </xf>
    <xf numFmtId="167" fontId="4" fillId="24" borderId="40" xfId="40" applyNumberFormat="1" applyFont="1" applyFill="1" applyBorder="1" applyAlignment="1" applyProtection="1">
      <alignment horizontal="center" vertical="center"/>
      <protection hidden="1"/>
    </xf>
    <xf numFmtId="166" fontId="4" fillId="0" borderId="33" xfId="40" applyNumberFormat="1" applyFont="1" applyFill="1" applyBorder="1" applyAlignment="1" applyProtection="1">
      <alignment horizontal="center" vertical="center"/>
      <protection locked="0"/>
    </xf>
    <xf numFmtId="166" fontId="4" fillId="0" borderId="19" xfId="40" applyNumberFormat="1" applyFont="1" applyFill="1" applyBorder="1" applyAlignment="1" applyProtection="1">
      <alignment horizontal="center" vertical="center"/>
      <protection locked="0"/>
    </xf>
    <xf numFmtId="0" fontId="2" fillId="24" borderId="24" xfId="40" applyFont="1" applyFill="1" applyBorder="1" applyAlignment="1" applyProtection="1">
      <alignment horizontal="left" vertical="top" wrapText="1"/>
      <protection hidden="1"/>
    </xf>
    <xf numFmtId="0" fontId="2" fillId="24" borderId="25" xfId="40" applyFont="1" applyFill="1" applyBorder="1" applyAlignment="1" applyProtection="1">
      <alignment horizontal="left" vertical="top" wrapText="1"/>
      <protection hidden="1"/>
    </xf>
    <xf numFmtId="0" fontId="2" fillId="24" borderId="17" xfId="40" applyFont="1" applyFill="1" applyBorder="1" applyAlignment="1" applyProtection="1">
      <alignment horizontal="left" vertical="top" wrapText="1"/>
      <protection hidden="1"/>
    </xf>
    <xf numFmtId="0" fontId="2" fillId="24" borderId="26" xfId="40" applyFont="1" applyFill="1" applyBorder="1" applyAlignment="1" applyProtection="1">
      <alignment horizontal="left" vertical="top" wrapText="1"/>
      <protection hidden="1"/>
    </xf>
    <xf numFmtId="0" fontId="2" fillId="24" borderId="0" xfId="40" applyFont="1" applyFill="1" applyBorder="1" applyAlignment="1" applyProtection="1">
      <alignment horizontal="left" vertical="top" wrapText="1"/>
      <protection hidden="1"/>
    </xf>
    <xf numFmtId="0" fontId="2" fillId="24" borderId="18" xfId="40" applyFont="1" applyFill="1" applyBorder="1" applyAlignment="1" applyProtection="1">
      <alignment horizontal="left" vertical="top" wrapText="1"/>
      <protection hidden="1"/>
    </xf>
    <xf numFmtId="0" fontId="2" fillId="24" borderId="13" xfId="40" applyFont="1" applyFill="1" applyBorder="1" applyAlignment="1" applyProtection="1">
      <alignment horizontal="left" vertical="top" wrapText="1"/>
      <protection hidden="1"/>
    </xf>
    <xf numFmtId="0" fontId="2" fillId="24" borderId="10" xfId="40" applyFont="1" applyFill="1" applyBorder="1" applyAlignment="1" applyProtection="1">
      <alignment horizontal="left" vertical="top" wrapText="1"/>
      <protection hidden="1"/>
    </xf>
    <xf numFmtId="0" fontId="2" fillId="24" borderId="19" xfId="40" applyFont="1" applyFill="1" applyBorder="1" applyAlignment="1" applyProtection="1">
      <alignment horizontal="left" vertical="top" wrapText="1"/>
      <protection hidden="1"/>
    </xf>
    <xf numFmtId="0" fontId="61" fillId="32" borderId="0" xfId="0" applyFont="1" applyFill="1" applyAlignment="1" applyProtection="1">
      <alignment horizontal="left" vertical="center" wrapText="1"/>
      <protection hidden="1"/>
    </xf>
    <xf numFmtId="8" fontId="5" fillId="30" borderId="10" xfId="0" applyNumberFormat="1" applyFont="1" applyFill="1" applyBorder="1" applyAlignment="1" applyProtection="1">
      <alignment horizontal="right" vertical="center"/>
      <protection locked="0" hidden="1"/>
    </xf>
    <xf numFmtId="8" fontId="26" fillId="24" borderId="0" xfId="0" applyNumberFormat="1" applyFont="1" applyFill="1" applyBorder="1" applyAlignment="1" applyProtection="1">
      <alignment horizontal="right" vertical="center"/>
      <protection hidden="1"/>
    </xf>
    <xf numFmtId="8" fontId="26" fillId="24" borderId="0" xfId="0" applyNumberFormat="1" applyFont="1" applyFill="1" applyAlignment="1" applyProtection="1">
      <alignment horizontal="right" vertical="center"/>
      <protection hidden="1"/>
    </xf>
    <xf numFmtId="167" fontId="5" fillId="30" borderId="1" xfId="40" applyNumberFormat="1" applyFont="1" applyFill="1" applyBorder="1" applyAlignment="1" applyProtection="1">
      <alignment horizontal="center" vertical="center"/>
      <protection locked="0" hidden="1"/>
    </xf>
    <xf numFmtId="167" fontId="4" fillId="24" borderId="14" xfId="40" applyNumberFormat="1" applyFont="1" applyFill="1" applyBorder="1" applyAlignment="1" applyProtection="1">
      <alignment vertical="center"/>
      <protection hidden="1"/>
    </xf>
    <xf numFmtId="167" fontId="4" fillId="24" borderId="1" xfId="40" applyNumberFormat="1" applyFont="1" applyFill="1" applyBorder="1" applyAlignment="1" applyProtection="1">
      <alignment vertical="center"/>
      <protection hidden="1"/>
    </xf>
    <xf numFmtId="167" fontId="4" fillId="24" borderId="36" xfId="40" applyNumberFormat="1" applyFont="1" applyFill="1" applyBorder="1" applyAlignment="1" applyProtection="1">
      <alignment vertical="center"/>
      <protection hidden="1"/>
    </xf>
    <xf numFmtId="167" fontId="4" fillId="24" borderId="16" xfId="40" applyNumberFormat="1" applyFont="1" applyFill="1" applyBorder="1" applyAlignment="1" applyProtection="1">
      <alignment vertical="center"/>
      <protection hidden="1"/>
    </xf>
    <xf numFmtId="167" fontId="5" fillId="30" borderId="41" xfId="40" applyNumberFormat="1" applyFont="1" applyFill="1" applyBorder="1" applyAlignment="1" applyProtection="1">
      <alignment horizontal="center" vertical="center"/>
      <protection locked="0" hidden="1"/>
    </xf>
    <xf numFmtId="14" fontId="51" fillId="30" borderId="0" xfId="0" applyNumberFormat="1" applyFont="1" applyFill="1" applyAlignment="1" applyProtection="1">
      <alignment horizontal="center" vertical="center"/>
      <protection locked="0" hidden="1"/>
    </xf>
    <xf numFmtId="8" fontId="4" fillId="24" borderId="0" xfId="40" applyNumberFormat="1" applyFont="1" applyFill="1" applyAlignment="1" applyProtection="1">
      <alignment horizontal="left" vertical="center"/>
      <protection hidden="1"/>
    </xf>
    <xf numFmtId="0" fontId="4" fillId="24" borderId="0" xfId="40" applyFont="1" applyFill="1" applyAlignment="1" applyProtection="1">
      <alignment horizontal="right" vertical="center"/>
      <protection hidden="1"/>
    </xf>
    <xf numFmtId="0" fontId="39" fillId="24" borderId="34" xfId="40" applyFont="1" applyFill="1" applyBorder="1" applyAlignment="1" applyProtection="1">
      <alignment horizontal="right" vertical="center"/>
      <protection hidden="1"/>
    </xf>
    <xf numFmtId="0" fontId="0" fillId="0" borderId="0" xfId="0" applyProtection="1">
      <protection hidden="1"/>
    </xf>
    <xf numFmtId="8" fontId="4" fillId="24" borderId="37" xfId="40" applyNumberFormat="1" applyFont="1" applyFill="1" applyBorder="1" applyAlignment="1" applyProtection="1">
      <alignment horizontal="right" vertical="center"/>
      <protection hidden="1"/>
    </xf>
    <xf numFmtId="8" fontId="4" fillId="24" borderId="38" xfId="40" applyNumberFormat="1" applyFont="1" applyFill="1" applyBorder="1" applyAlignment="1" applyProtection="1">
      <alignment horizontal="right" vertical="center"/>
      <protection hidden="1"/>
    </xf>
    <xf numFmtId="8" fontId="3" fillId="24" borderId="35" xfId="40" applyNumberFormat="1" applyFont="1" applyFill="1" applyBorder="1" applyAlignment="1" applyProtection="1">
      <alignment horizontal="right" vertical="center"/>
      <protection hidden="1"/>
    </xf>
    <xf numFmtId="8" fontId="3" fillId="24" borderId="36" xfId="40" applyNumberFormat="1" applyFont="1" applyFill="1" applyBorder="1" applyAlignment="1" applyProtection="1">
      <alignment horizontal="right" vertical="center"/>
      <protection hidden="1"/>
    </xf>
    <xf numFmtId="0" fontId="39" fillId="24" borderId="33" xfId="40" applyFont="1" applyFill="1" applyBorder="1" applyAlignment="1" applyProtection="1">
      <alignment horizontal="right" vertical="center"/>
      <protection hidden="1"/>
    </xf>
    <xf numFmtId="0" fontId="0" fillId="0" borderId="10" xfId="0" applyBorder="1" applyProtection="1">
      <protection hidden="1"/>
    </xf>
    <xf numFmtId="8" fontId="5" fillId="30" borderId="0" xfId="40" applyNumberFormat="1" applyFont="1" applyFill="1" applyBorder="1" applyAlignment="1" applyProtection="1">
      <alignment horizontal="right" vertical="center"/>
      <protection locked="0" hidden="1"/>
    </xf>
    <xf numFmtId="0" fontId="2" fillId="0" borderId="35" xfId="40" applyFont="1" applyFill="1" applyBorder="1" applyAlignment="1" applyProtection="1">
      <alignment horizontal="left" vertical="center"/>
      <protection locked="0"/>
    </xf>
    <xf numFmtId="0" fontId="39" fillId="0" borderId="36" xfId="40" applyFont="1" applyFill="1" applyBorder="1" applyAlignment="1" applyProtection="1">
      <alignment horizontal="left" vertical="center"/>
      <protection locked="0"/>
    </xf>
    <xf numFmtId="0" fontId="26" fillId="30" borderId="0" xfId="0" applyFont="1" applyFill="1" applyAlignment="1" applyProtection="1">
      <alignment horizontal="left" vertical="center"/>
      <protection locked="0" hidden="1"/>
    </xf>
    <xf numFmtId="167" fontId="4" fillId="24" borderId="42" xfId="40" applyNumberFormat="1" applyFont="1" applyFill="1" applyBorder="1" applyAlignment="1" applyProtection="1">
      <alignment horizontal="center" vertical="center"/>
      <protection hidden="1"/>
    </xf>
    <xf numFmtId="167" fontId="4" fillId="24" borderId="43" xfId="40" applyNumberFormat="1" applyFont="1" applyFill="1" applyBorder="1" applyAlignment="1" applyProtection="1">
      <alignment horizontal="center" vertical="center"/>
      <protection hidden="1"/>
    </xf>
    <xf numFmtId="44" fontId="5" fillId="30" borderId="10" xfId="40" applyNumberFormat="1" applyFont="1" applyFill="1" applyBorder="1" applyAlignment="1" applyProtection="1">
      <alignment horizontal="right" vertical="center"/>
      <protection hidden="1"/>
    </xf>
    <xf numFmtId="8" fontId="5" fillId="30" borderId="10" xfId="40" applyNumberFormat="1" applyFont="1" applyFill="1" applyBorder="1" applyAlignment="1" applyProtection="1">
      <alignment horizontal="right" vertical="center"/>
      <protection hidden="1"/>
    </xf>
    <xf numFmtId="0" fontId="68" fillId="24" borderId="0" xfId="40" applyFont="1" applyFill="1" applyBorder="1" applyAlignment="1" applyProtection="1">
      <alignment horizontal="left" vertical="center" wrapText="1"/>
      <protection hidden="1"/>
    </xf>
    <xf numFmtId="0" fontId="68" fillId="24" borderId="34" xfId="40" applyFont="1" applyFill="1" applyBorder="1" applyAlignment="1" applyProtection="1">
      <alignment horizontal="left" vertical="center" wrapText="1"/>
      <protection hidden="1"/>
    </xf>
    <xf numFmtId="0" fontId="39" fillId="24" borderId="30" xfId="40" applyFont="1" applyFill="1" applyBorder="1" applyAlignment="1" applyProtection="1">
      <alignment horizontal="right" vertical="center"/>
      <protection hidden="1"/>
    </xf>
    <xf numFmtId="0" fontId="0" fillId="0" borderId="25" xfId="0" applyBorder="1" applyProtection="1">
      <protection hidden="1"/>
    </xf>
    <xf numFmtId="0" fontId="4" fillId="24" borderId="0" xfId="0" applyFont="1" applyFill="1" applyAlignment="1" applyProtection="1">
      <alignment horizontal="left" vertical="center"/>
      <protection hidden="1"/>
    </xf>
    <xf numFmtId="8" fontId="5" fillId="30" borderId="10" xfId="40" applyNumberFormat="1" applyFont="1" applyFill="1" applyBorder="1" applyAlignment="1" applyProtection="1">
      <alignment horizontal="right" vertical="center"/>
      <protection locked="0" hidden="1"/>
    </xf>
    <xf numFmtId="0" fontId="47" fillId="32" borderId="0" xfId="0" applyFont="1" applyFill="1" applyAlignment="1" applyProtection="1">
      <alignment horizontal="left" vertical="top" wrapText="1"/>
      <protection hidden="1"/>
    </xf>
    <xf numFmtId="0" fontId="47" fillId="32" borderId="0" xfId="40" applyFont="1" applyFill="1" applyBorder="1" applyAlignment="1" applyProtection="1">
      <alignment horizontal="left" vertical="top" wrapText="1"/>
      <protection hidden="1"/>
    </xf>
    <xf numFmtId="0" fontId="76" fillId="24" borderId="0" xfId="0" applyFont="1" applyFill="1" applyAlignment="1" applyProtection="1">
      <alignment horizontal="left" vertical="top" wrapText="1"/>
      <protection hidden="1"/>
    </xf>
    <xf numFmtId="8" fontId="38" fillId="24" borderId="27" xfId="41" applyNumberFormat="1" applyFont="1" applyFill="1" applyBorder="1" applyAlignment="1" applyProtection="1">
      <alignment horizontal="center" vertical="center"/>
      <protection hidden="1"/>
    </xf>
    <xf numFmtId="8" fontId="38" fillId="24" borderId="28" xfId="41" applyNumberFormat="1" applyFont="1" applyFill="1" applyBorder="1" applyAlignment="1" applyProtection="1">
      <alignment horizontal="center" vertical="center"/>
      <protection hidden="1"/>
    </xf>
    <xf numFmtId="8" fontId="38" fillId="24" borderId="20" xfId="41" applyNumberFormat="1" applyFont="1" applyFill="1" applyBorder="1" applyAlignment="1" applyProtection="1">
      <alignment horizontal="center" vertical="center"/>
      <protection hidden="1"/>
    </xf>
  </cellXfs>
  <cellStyles count="51">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xr:uid="{00000000-0005-0000-0000-00001D000000}"/>
    <cellStyle name="Gut" xfId="31" builtinId="26" customBuiltin="1"/>
    <cellStyle name="Link" xfId="32" builtinId="8"/>
    <cellStyle name="Neutral" xfId="33" builtinId="28" customBuiltin="1"/>
    <cellStyle name="Notiz" xfId="34" builtinId="10" customBuiltin="1"/>
    <cellStyle name="Schlecht" xfId="35" builtinId="27" customBuiltin="1"/>
    <cellStyle name="Standard" xfId="0" builtinId="0"/>
    <cellStyle name="Standard 2" xfId="36" xr:uid="{00000000-0005-0000-0000-000024000000}"/>
    <cellStyle name="Standard_Berechnung" xfId="37" xr:uid="{00000000-0005-0000-0000-000025000000}"/>
    <cellStyle name="Standard_Dropdownfelder" xfId="38" xr:uid="{00000000-0005-0000-0000-000026000000}"/>
    <cellStyle name="Standard_DTParameter" xfId="39" xr:uid="{00000000-0005-0000-0000-000027000000}"/>
    <cellStyle name="Standard_Kostenbeitragsberechnung Minderjaehrige 2013 mit UH-Nebenrechnung1" xfId="40" xr:uid="{00000000-0005-0000-0000-000028000000}"/>
    <cellStyle name="Standard_Neue Version AK Heranziehung" xfId="41" xr:uid="{00000000-0005-0000-0000-000029000000}"/>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ährung 2" xfId="48" xr:uid="{00000000-0005-0000-0000-000030000000}"/>
    <cellStyle name="Warnender Text" xfId="49" builtinId="11" customBuiltin="1"/>
    <cellStyle name="Zelle überprüfen" xfId="50" builtinId="23" customBuiltin="1"/>
  </cellStyles>
  <dxfs count="64">
    <dxf>
      <font>
        <condense val="0"/>
        <extend val="0"/>
        <color indexed="8"/>
      </font>
    </dxf>
    <dxf>
      <font>
        <condense val="0"/>
        <extend val="0"/>
        <color indexed="55"/>
      </font>
    </dxf>
    <dxf>
      <font>
        <color indexed="23"/>
      </font>
    </dxf>
    <dxf>
      <font>
        <color theme="0" tint="-0.499984740745262"/>
      </font>
    </dxf>
    <dxf>
      <font>
        <color indexed="23"/>
      </font>
    </dxf>
    <dxf>
      <font>
        <color indexed="23"/>
      </font>
    </dxf>
    <dxf>
      <font>
        <color indexed="23"/>
      </font>
    </dxf>
    <dxf>
      <font>
        <condense val="0"/>
        <extend val="0"/>
        <color indexed="23"/>
      </font>
    </dxf>
    <dxf>
      <font>
        <condense val="0"/>
        <extend val="0"/>
        <color indexed="10"/>
      </font>
    </dxf>
    <dxf>
      <font>
        <condense val="0"/>
        <extend val="0"/>
        <color indexed="12"/>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lor indexed="23"/>
      </font>
    </dxf>
    <dxf>
      <font>
        <b/>
        <i val="0"/>
        <condense val="0"/>
        <extend val="0"/>
        <color indexed="10"/>
      </font>
    </dxf>
    <dxf>
      <font>
        <condense val="0"/>
        <extend val="0"/>
        <color indexed="55"/>
      </font>
    </dxf>
    <dxf>
      <font>
        <condense val="0"/>
        <extend val="0"/>
        <color indexed="55"/>
      </font>
    </dxf>
    <dxf>
      <font>
        <condense val="0"/>
        <extend val="0"/>
        <color indexed="23"/>
      </font>
    </dxf>
    <dxf>
      <font>
        <condense val="0"/>
        <extend val="0"/>
        <color indexed="10"/>
      </font>
    </dxf>
    <dxf>
      <font>
        <color indexed="23"/>
      </font>
    </dxf>
    <dxf>
      <font>
        <color indexed="23"/>
      </font>
    </dxf>
    <dxf>
      <font>
        <color indexed="55"/>
      </font>
    </dxf>
    <dxf>
      <font>
        <color indexed="55"/>
      </font>
    </dxf>
    <dxf>
      <font>
        <b/>
        <i val="0"/>
        <condense val="0"/>
        <extend val="0"/>
        <color indexed="10"/>
      </font>
    </dxf>
    <dxf>
      <font>
        <condense val="0"/>
        <extend val="0"/>
        <color indexed="23"/>
      </font>
    </dxf>
    <dxf>
      <font>
        <color theme="0" tint="-0.499984740745262"/>
      </font>
    </dxf>
    <dxf>
      <font>
        <color theme="0" tint="-0.499984740745262"/>
      </font>
    </dxf>
    <dxf>
      <font>
        <b/>
        <i val="0"/>
        <condense val="0"/>
        <extend val="0"/>
        <color indexed="23"/>
      </font>
    </dxf>
    <dxf>
      <font>
        <b/>
        <i val="0"/>
        <color rgb="FFFF0000"/>
      </font>
    </dxf>
    <dxf>
      <font>
        <b/>
        <i val="0"/>
        <color rgb="FFFF0000"/>
      </font>
    </dxf>
    <dxf>
      <font>
        <color theme="0" tint="-0.499984740745262"/>
      </font>
    </dxf>
    <dxf>
      <font>
        <b/>
        <i val="0"/>
        <color rgb="FFFF0000"/>
      </font>
    </dxf>
    <dxf>
      <font>
        <b/>
        <i val="0"/>
        <color rgb="FFFF0000"/>
      </font>
    </dxf>
    <dxf>
      <font>
        <condense val="0"/>
        <extend val="0"/>
        <color indexed="23"/>
      </font>
    </dxf>
    <dxf>
      <font>
        <condense val="0"/>
        <extend val="0"/>
        <color indexed="10"/>
      </font>
    </dxf>
    <dxf>
      <font>
        <condense val="0"/>
        <extend val="0"/>
        <color indexed="12"/>
      </font>
    </dxf>
    <dxf>
      <font>
        <condense val="0"/>
        <extend val="0"/>
        <color indexed="23"/>
      </font>
    </dxf>
    <dxf>
      <font>
        <condense val="0"/>
        <extend val="0"/>
        <color indexed="23"/>
      </font>
    </dxf>
    <dxf>
      <font>
        <condense val="0"/>
        <extend val="0"/>
        <color indexed="23"/>
      </font>
    </dxf>
    <dxf>
      <font>
        <b/>
        <i val="0"/>
        <condense val="0"/>
        <extend val="0"/>
      </font>
      <fill>
        <patternFill>
          <bgColor indexed="22"/>
        </patternFill>
      </fill>
    </dxf>
    <dxf>
      <font>
        <b/>
        <i val="0"/>
        <condense val="0"/>
        <extend val="0"/>
        <color indexed="12"/>
      </font>
      <fill>
        <patternFill>
          <bgColor indexed="9"/>
        </patternFill>
      </fill>
    </dxf>
    <dxf>
      <font>
        <b/>
        <i val="0"/>
        <condense val="0"/>
        <extend val="0"/>
        <color indexed="23"/>
      </font>
    </dxf>
    <dxf>
      <font>
        <b/>
        <i val="0"/>
        <condense val="0"/>
        <extend val="0"/>
        <color indexed="23"/>
      </font>
    </dxf>
    <dxf>
      <font>
        <condense val="0"/>
        <extend val="0"/>
        <color indexed="23"/>
      </font>
    </dxf>
    <dxf>
      <font>
        <b/>
        <i val="0"/>
        <condense val="0"/>
        <extend val="0"/>
        <color indexed="10"/>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10"/>
      </font>
    </dxf>
    <dxf>
      <font>
        <condense val="0"/>
        <extend val="0"/>
        <color indexed="12"/>
      </font>
    </dxf>
    <dxf>
      <font>
        <condense val="0"/>
        <extend val="0"/>
        <color indexed="23"/>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4" dropStyle="combo" dx="22" fmlaLink="Dropdownfelder!$A$2" fmlaRange="Dropdownfelder!$B$3:$B$6" noThreeD="1" sel="1" val="0"/>
</file>

<file path=xl/ctrlProps/ctrlProp10.xml><?xml version="1.0" encoding="utf-8"?>
<formControlPr xmlns="http://schemas.microsoft.com/office/spreadsheetml/2009/9/main" objectType="Drop" dropLines="9" dropStyle="combo" dx="22" fmlaLink="Dropdownfelder!$B$54" fmlaRange="Dropdownfelder!$B$41:$B$49" noThreeD="1" sel="1" val="0"/>
</file>

<file path=xl/ctrlProps/ctrlProp11.xml><?xml version="1.0" encoding="utf-8"?>
<formControlPr xmlns="http://schemas.microsoft.com/office/spreadsheetml/2009/9/main" objectType="Drop" dropLines="9" dropStyle="combo" dx="22" fmlaLink="Dropdownfelder!$B$55" fmlaRange="Dropdownfelder!$B$41:$B$49" noThreeD="1" sel="1" val="0"/>
</file>

<file path=xl/ctrlProps/ctrlProp12.xml><?xml version="1.0" encoding="utf-8"?>
<formControlPr xmlns="http://schemas.microsoft.com/office/spreadsheetml/2009/9/main" objectType="Drop" dropLines="9" dropStyle="combo" dx="22" fmlaLink="Dropdownfelder!$B$56" fmlaRange="Dropdownfelder!$B$41:$B$49" noThreeD="1" sel="1" val="0"/>
</file>

<file path=xl/ctrlProps/ctrlProp13.xml><?xml version="1.0" encoding="utf-8"?>
<formControlPr xmlns="http://schemas.microsoft.com/office/spreadsheetml/2009/9/main" objectType="Drop" dropLines="9" dropStyle="combo" dx="22" fmlaLink="Dropdownfelder!$B$57" fmlaRange="Dropdownfelder!$B$41:$B$49" noThreeD="1" sel="1" val="0"/>
</file>

<file path=xl/ctrlProps/ctrlProp14.xml><?xml version="1.0" encoding="utf-8"?>
<formControlPr xmlns="http://schemas.microsoft.com/office/spreadsheetml/2009/9/main" objectType="Drop" dropLines="9" dropStyle="combo" dx="22" fmlaLink="Dropdownfelder!$B$58" fmlaRange="Dropdownfelder!$B$41:$B$49" noThreeD="1" sel="1" val="0"/>
</file>

<file path=xl/ctrlProps/ctrlProp15.xml><?xml version="1.0" encoding="utf-8"?>
<formControlPr xmlns="http://schemas.microsoft.com/office/spreadsheetml/2009/9/main" objectType="Drop" dropLines="9" dropStyle="combo" dx="22" fmlaLink="Dropdownfelder!$B$59" fmlaRange="Dropdownfelder!$B$41:$B$49" noThreeD="1" sel="1" val="0"/>
</file>

<file path=xl/ctrlProps/ctrlProp16.xml><?xml version="1.0" encoding="utf-8"?>
<formControlPr xmlns="http://schemas.microsoft.com/office/spreadsheetml/2009/9/main" objectType="Drop" dropLines="9" dropStyle="combo" dx="22" fmlaLink="Dropdownfelder!$B$60" fmlaRange="Dropdownfelder!$B$41:$B$49" noThreeD="1" sel="1" val="0"/>
</file>

<file path=xl/ctrlProps/ctrlProp17.xml><?xml version="1.0" encoding="utf-8"?>
<formControlPr xmlns="http://schemas.microsoft.com/office/spreadsheetml/2009/9/main" objectType="Drop" dropLines="9" dropStyle="combo" dx="22" fmlaLink="Dropdownfelder!$B$61" fmlaRange="Dropdownfelder!$B$41:$B$49" noThreeD="1" sel="1" val="0"/>
</file>

<file path=xl/ctrlProps/ctrlProp18.xml><?xml version="1.0" encoding="utf-8"?>
<formControlPr xmlns="http://schemas.microsoft.com/office/spreadsheetml/2009/9/main" objectType="Drop" dropLines="4" dropStyle="combo" dx="22" fmlaLink="Dropdownfelder!$A$69" fmlaRange="Dropdownfelder!$B$70:$B$73" noThreeD="1" sel="1" val="0"/>
</file>

<file path=xl/ctrlProps/ctrlProp19.xml><?xml version="1.0" encoding="utf-8"?>
<formControlPr xmlns="http://schemas.microsoft.com/office/spreadsheetml/2009/9/main" objectType="Drop" dropLines="4" dropStyle="combo" dx="22" fmlaLink="Dropdownfelder!$A$75" fmlaRange="Dropdownfelder!$B$76:$B$79" noThreeD="1" sel="1" val="0"/>
</file>

<file path=xl/ctrlProps/ctrlProp2.xml><?xml version="1.0" encoding="utf-8"?>
<formControlPr xmlns="http://schemas.microsoft.com/office/spreadsheetml/2009/9/main" objectType="Drop" dropLines="5" dropStyle="combo" dx="22" fmlaLink="Dropdownfelder!$A$9" fmlaRange="Dropdownfelder!$B$10:$B$14" noThreeD="1" sel="1" val="0"/>
</file>

<file path=xl/ctrlProps/ctrlProp20.xml><?xml version="1.0" encoding="utf-8"?>
<formControlPr xmlns="http://schemas.microsoft.com/office/spreadsheetml/2009/9/main" objectType="Drop" dropLines="4" dropStyle="combo" dx="22" fmlaLink="Dropdownfelder!$A$81" fmlaRange="Dropdownfelder!$B$82:$B$85" noThreeD="1" sel="1" val="0"/>
</file>

<file path=xl/ctrlProps/ctrlProp21.xml><?xml version="1.0" encoding="utf-8"?>
<formControlPr xmlns="http://schemas.microsoft.com/office/spreadsheetml/2009/9/main" objectType="Drop" dropLines="9" dropStyle="combo" dx="22" fmlaLink="Dropdownfelder!$A$88" fmlaRange="Dropdownfelder!$B$89:$B$97" noThreeD="1" sel="1" val="0"/>
</file>

<file path=xl/ctrlProps/ctrlProp22.xml><?xml version="1.0" encoding="utf-8"?>
<formControlPr xmlns="http://schemas.microsoft.com/office/spreadsheetml/2009/9/main" objectType="Drop" dropLines="9" dropStyle="combo" dx="22" fmlaLink="Dropdownfelder!$A$100" fmlaRange="Dropdownfelder!$B$101:$B$109" noThreeD="1" sel="1" val="0"/>
</file>

<file path=xl/ctrlProps/ctrlProp23.xml><?xml version="1.0" encoding="utf-8"?>
<formControlPr xmlns="http://schemas.microsoft.com/office/spreadsheetml/2009/9/main" objectType="Drop" dropLines="9" dropStyle="combo" dx="22" fmlaLink="Dropdownfelder!$A$112" fmlaRange="Dropdownfelder!$B$113:$B$121" noThreeD="1" sel="1" val="0"/>
</file>

<file path=xl/ctrlProps/ctrlProp24.xml><?xml version="1.0" encoding="utf-8"?>
<formControlPr xmlns="http://schemas.microsoft.com/office/spreadsheetml/2009/9/main" objectType="Drop" dropLines="9" dropStyle="combo" dx="22" fmlaLink="Dropdownfelder!$A$124" fmlaRange="Dropdownfelder!$B$125:$B$133" noThreeD="1" sel="1" val="0"/>
</file>

<file path=xl/ctrlProps/ctrlProp3.xml><?xml version="1.0" encoding="utf-8"?>
<formControlPr xmlns="http://schemas.microsoft.com/office/spreadsheetml/2009/9/main" objectType="Drop" dropLines="5" dropStyle="combo" dx="22" fmlaLink="Dropdownfelder!$A$17" fmlaRange="Dropdownfelder!$B$18:$B$22" noThreeD="1" sel="1" val="0"/>
</file>

<file path=xl/ctrlProps/ctrlProp4.xml><?xml version="1.0" encoding="utf-8"?>
<formControlPr xmlns="http://schemas.microsoft.com/office/spreadsheetml/2009/9/main" objectType="Drop" dropLines="5" dropStyle="combo" dx="22" fmlaLink="Dropdownfelder!$A$25" fmlaRange="Dropdownfelder!$B$26:$B$30" noThreeD="1" sel="1" val="0"/>
</file>

<file path=xl/ctrlProps/ctrlProp5.xml><?xml version="1.0" encoding="utf-8"?>
<formControlPr xmlns="http://schemas.microsoft.com/office/spreadsheetml/2009/9/main" objectType="Drop" dropLines="3" dropStyle="combo" dx="22" fmlaLink="Dropdownfelder!$A$33" fmlaRange="Dropdownfelder!$B$34:$B$36" noThreeD="1" sel="1" val="0"/>
</file>

<file path=xl/ctrlProps/ctrlProp6.xml><?xml version="1.0" encoding="utf-8"?>
<formControlPr xmlns="http://schemas.microsoft.com/office/spreadsheetml/2009/9/main" objectType="Drop" dropLines="4" dropStyle="combo" dx="22" fmlaLink="Dropdownfelder!$A$136" fmlaRange="Dropdownfelder!$B$137:$B$140" noThreeD="1" sel="1" val="0"/>
</file>

<file path=xl/ctrlProps/ctrlProp7.xml><?xml version="1.0" encoding="utf-8"?>
<formControlPr xmlns="http://schemas.microsoft.com/office/spreadsheetml/2009/9/main" objectType="Drop" dropLines="3" dropStyle="combo" dx="22" fmlaLink="Dropdownfelder!$A$63" fmlaRange="Dropdownfelder!$B$64:$B$66" noThreeD="1" sel="1" val="0"/>
</file>

<file path=xl/ctrlProps/ctrlProp8.xml><?xml version="1.0" encoding="utf-8"?>
<formControlPr xmlns="http://schemas.microsoft.com/office/spreadsheetml/2009/9/main" objectType="Drop" dropLines="9" dropStyle="combo" dx="22" fmlaLink="Dropdownfelder!$B$52" fmlaRange="Dropdownfelder!$B$41:$B$49" noThreeD="1" sel="1" val="0"/>
</file>

<file path=xl/ctrlProps/ctrlProp9.xml><?xml version="1.0" encoding="utf-8"?>
<formControlPr xmlns="http://schemas.microsoft.com/office/spreadsheetml/2009/9/main" objectType="Drop" dropLines="9" dropStyle="combo" dx="22" fmlaLink="Dropdownfelder!$B$53" fmlaRange="Dropdownfelder!$B$41:$B$49"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18</xdr:row>
          <xdr:rowOff>0</xdr:rowOff>
        </xdr:from>
        <xdr:to>
          <xdr:col>23</xdr:col>
          <xdr:colOff>0</xdr:colOff>
          <xdr:row>19</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49</xdr:row>
          <xdr:rowOff>0</xdr:rowOff>
        </xdr:from>
        <xdr:to>
          <xdr:col>19</xdr:col>
          <xdr:colOff>0</xdr:colOff>
          <xdr:row>50</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50</xdr:row>
          <xdr:rowOff>0</xdr:rowOff>
        </xdr:from>
        <xdr:to>
          <xdr:col>19</xdr:col>
          <xdr:colOff>0</xdr:colOff>
          <xdr:row>51</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0</xdr:rowOff>
        </xdr:from>
        <xdr:to>
          <xdr:col>17</xdr:col>
          <xdr:colOff>0</xdr:colOff>
          <xdr:row>101</xdr:row>
          <xdr:rowOff>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112</xdr:row>
          <xdr:rowOff>0</xdr:rowOff>
        </xdr:from>
        <xdr:to>
          <xdr:col>20</xdr:col>
          <xdr:colOff>0</xdr:colOff>
          <xdr:row>113</xdr:row>
          <xdr:rowOff>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119</xdr:row>
          <xdr:rowOff>0</xdr:rowOff>
        </xdr:from>
        <xdr:to>
          <xdr:col>19</xdr:col>
          <xdr:colOff>0</xdr:colOff>
          <xdr:row>120</xdr:row>
          <xdr:rowOff>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6</xdr:col>
          <xdr:colOff>1009650</xdr:colOff>
          <xdr:row>8</xdr:row>
          <xdr:rowOff>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88</xdr:row>
          <xdr:rowOff>0</xdr:rowOff>
        </xdr:from>
        <xdr:to>
          <xdr:col>11</xdr:col>
          <xdr:colOff>0</xdr:colOff>
          <xdr:row>89</xdr:row>
          <xdr:rowOff>0</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89</xdr:row>
          <xdr:rowOff>0</xdr:rowOff>
        </xdr:from>
        <xdr:to>
          <xdr:col>11</xdr:col>
          <xdr:colOff>0</xdr:colOff>
          <xdr:row>90</xdr:row>
          <xdr:rowOff>0</xdr:rowOff>
        </xdr:to>
        <xdr:sp macro="" textlink="">
          <xdr:nvSpPr>
            <xdr:cNvPr id="2051" name="Drop Down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11</xdr:col>
          <xdr:colOff>0</xdr:colOff>
          <xdr:row>91</xdr:row>
          <xdr:rowOff>0</xdr:rowOff>
        </xdr:to>
        <xdr:sp macro="" textlink="">
          <xdr:nvSpPr>
            <xdr:cNvPr id="2052" name="Drop Down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91</xdr:row>
          <xdr:rowOff>0</xdr:rowOff>
        </xdr:from>
        <xdr:to>
          <xdr:col>11</xdr:col>
          <xdr:colOff>0</xdr:colOff>
          <xdr:row>92</xdr:row>
          <xdr:rowOff>0</xdr:rowOff>
        </xdr:to>
        <xdr:sp macro="" textlink="">
          <xdr:nvSpPr>
            <xdr:cNvPr id="2053" name="Drop Down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92</xdr:row>
          <xdr:rowOff>0</xdr:rowOff>
        </xdr:from>
        <xdr:to>
          <xdr:col>11</xdr:col>
          <xdr:colOff>0</xdr:colOff>
          <xdr:row>93</xdr:row>
          <xdr:rowOff>0</xdr:rowOff>
        </xdr:to>
        <xdr:sp macro="" textlink="">
          <xdr:nvSpPr>
            <xdr:cNvPr id="2054" name="Drop Down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93</xdr:row>
          <xdr:rowOff>0</xdr:rowOff>
        </xdr:from>
        <xdr:to>
          <xdr:col>11</xdr:col>
          <xdr:colOff>0</xdr:colOff>
          <xdr:row>94</xdr:row>
          <xdr:rowOff>0</xdr:rowOff>
        </xdr:to>
        <xdr:sp macro="" textlink="">
          <xdr:nvSpPr>
            <xdr:cNvPr id="2055" name="Drop Down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94</xdr:row>
          <xdr:rowOff>0</xdr:rowOff>
        </xdr:from>
        <xdr:to>
          <xdr:col>11</xdr:col>
          <xdr:colOff>0</xdr:colOff>
          <xdr:row>95</xdr:row>
          <xdr:rowOff>0</xdr:rowOff>
        </xdr:to>
        <xdr:sp macro="" textlink="">
          <xdr:nvSpPr>
            <xdr:cNvPr id="2056" name="Drop Down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95</xdr:row>
          <xdr:rowOff>0</xdr:rowOff>
        </xdr:from>
        <xdr:to>
          <xdr:col>11</xdr:col>
          <xdr:colOff>0</xdr:colOff>
          <xdr:row>96</xdr:row>
          <xdr:rowOff>0</xdr:rowOff>
        </xdr:to>
        <xdr:sp macro="" textlink="">
          <xdr:nvSpPr>
            <xdr:cNvPr id="2057" name="Drop Down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96</xdr:row>
          <xdr:rowOff>0</xdr:rowOff>
        </xdr:from>
        <xdr:to>
          <xdr:col>11</xdr:col>
          <xdr:colOff>0</xdr:colOff>
          <xdr:row>97</xdr:row>
          <xdr:rowOff>0</xdr:rowOff>
        </xdr:to>
        <xdr:sp macro="" textlink="">
          <xdr:nvSpPr>
            <xdr:cNvPr id="2058" name="Drop Down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97</xdr:row>
          <xdr:rowOff>0</xdr:rowOff>
        </xdr:from>
        <xdr:to>
          <xdr:col>11</xdr:col>
          <xdr:colOff>0</xdr:colOff>
          <xdr:row>98</xdr:row>
          <xdr:rowOff>0</xdr:rowOff>
        </xdr:to>
        <xdr:sp macro="" textlink="">
          <xdr:nvSpPr>
            <xdr:cNvPr id="2059" name="Drop Down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131</xdr:row>
          <xdr:rowOff>0</xdr:rowOff>
        </xdr:from>
        <xdr:to>
          <xdr:col>11</xdr:col>
          <xdr:colOff>0</xdr:colOff>
          <xdr:row>132</xdr:row>
          <xdr:rowOff>0</xdr:rowOff>
        </xdr:to>
        <xdr:sp macro="" textlink="">
          <xdr:nvSpPr>
            <xdr:cNvPr id="2061" name="Drop Down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132</xdr:row>
          <xdr:rowOff>0</xdr:rowOff>
        </xdr:from>
        <xdr:to>
          <xdr:col>11</xdr:col>
          <xdr:colOff>0</xdr:colOff>
          <xdr:row>133</xdr:row>
          <xdr:rowOff>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133</xdr:row>
          <xdr:rowOff>0</xdr:rowOff>
        </xdr:from>
        <xdr:to>
          <xdr:col>11</xdr:col>
          <xdr:colOff>0</xdr:colOff>
          <xdr:row>134</xdr:row>
          <xdr:rowOff>0</xdr:rowOff>
        </xdr:to>
        <xdr:sp macro="" textlink="">
          <xdr:nvSpPr>
            <xdr:cNvPr id="2063" name="Drop Down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0</xdr:rowOff>
        </xdr:from>
        <xdr:to>
          <xdr:col>11</xdr:col>
          <xdr:colOff>0</xdr:colOff>
          <xdr:row>149</xdr:row>
          <xdr:rowOff>0</xdr:rowOff>
        </xdr:to>
        <xdr:sp macro="" textlink="">
          <xdr:nvSpPr>
            <xdr:cNvPr id="2068" name="Drop Down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0</xdr:rowOff>
        </xdr:from>
        <xdr:to>
          <xdr:col>11</xdr:col>
          <xdr:colOff>0</xdr:colOff>
          <xdr:row>150</xdr:row>
          <xdr:rowOff>0</xdr:rowOff>
        </xdr:to>
        <xdr:sp macro="" textlink="">
          <xdr:nvSpPr>
            <xdr:cNvPr id="2069" name="Drop Down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150</xdr:row>
          <xdr:rowOff>0</xdr:rowOff>
        </xdr:from>
        <xdr:to>
          <xdr:col>11</xdr:col>
          <xdr:colOff>0</xdr:colOff>
          <xdr:row>151</xdr:row>
          <xdr:rowOff>0</xdr:rowOff>
        </xdr:to>
        <xdr:sp macro="" textlink="">
          <xdr:nvSpPr>
            <xdr:cNvPr id="2070" name="Drop Down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151</xdr:row>
          <xdr:rowOff>0</xdr:rowOff>
        </xdr:from>
        <xdr:to>
          <xdr:col>11</xdr:col>
          <xdr:colOff>0</xdr:colOff>
          <xdr:row>152</xdr:row>
          <xdr:rowOff>0</xdr:rowOff>
        </xdr:to>
        <xdr:sp macro="" textlink="">
          <xdr:nvSpPr>
            <xdr:cNvPr id="2071" name="Drop Down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Kostenbeitragsberechnung%20Minderjaehrige%202013%20mit%20UH-Nebenrechnung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igene%20Dateien\Neue%20Version%20AK%20Heranziehu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uptberechnung"/>
      <sheetName val="Einkommen und Aufwendungen"/>
      <sheetName val="KG, Sonstige, Risikoabsicherung"/>
      <sheetName val="Einkommen selbst. Tätigkeit"/>
      <sheetName val="Kostenbeitragstabelle"/>
      <sheetName val="Düsseldorfer Tabelle"/>
      <sheetName val="DD_Parameter"/>
      <sheetName val="KB_Parameter"/>
      <sheetName val="NR_Parameter"/>
      <sheetName val="DT_Parame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9">
          <cell r="A9">
            <v>1</v>
          </cell>
          <cell r="B9">
            <v>0</v>
          </cell>
          <cell r="C9">
            <v>0</v>
          </cell>
          <cell r="D9" t="str">
            <v xml:space="preserve"> </v>
          </cell>
          <cell r="E9">
            <v>1</v>
          </cell>
        </row>
        <row r="10">
          <cell r="A10">
            <v>2</v>
          </cell>
          <cell r="B10" t="str">
            <v>1.Kind: 92 €</v>
          </cell>
          <cell r="C10">
            <v>-92</v>
          </cell>
          <cell r="D10" t="str">
            <v>1.Kind</v>
          </cell>
        </row>
        <row r="11">
          <cell r="A11">
            <v>3</v>
          </cell>
          <cell r="B11" t="str">
            <v>2.Kind: 92 €</v>
          </cell>
          <cell r="C11">
            <v>-92</v>
          </cell>
          <cell r="D11" t="str">
            <v>2.Kind</v>
          </cell>
        </row>
        <row r="12">
          <cell r="A12">
            <v>4</v>
          </cell>
          <cell r="B12" t="str">
            <v>3.Kind: 95 €</v>
          </cell>
          <cell r="C12">
            <v>-95</v>
          </cell>
          <cell r="D12" t="str">
            <v>3.Kind</v>
          </cell>
        </row>
        <row r="13">
          <cell r="A13">
            <v>5</v>
          </cell>
          <cell r="B13" t="str">
            <v>w.Kind: 107,5 €</v>
          </cell>
          <cell r="C13">
            <v>-107.5</v>
          </cell>
          <cell r="D13" t="str">
            <v>w.Kind</v>
          </cell>
        </row>
        <row r="15">
          <cell r="A15">
            <v>1</v>
          </cell>
          <cell r="B15">
            <v>0</v>
          </cell>
          <cell r="C15">
            <v>0</v>
          </cell>
          <cell r="D15" t="str">
            <v xml:space="preserve"> </v>
          </cell>
          <cell r="E15">
            <v>1</v>
          </cell>
        </row>
        <row r="16">
          <cell r="A16">
            <v>2</v>
          </cell>
          <cell r="B16" t="str">
            <v>1.Kind: 92 €</v>
          </cell>
          <cell r="C16">
            <v>-92</v>
          </cell>
          <cell r="D16" t="str">
            <v>1.Kind</v>
          </cell>
        </row>
        <row r="17">
          <cell r="A17">
            <v>3</v>
          </cell>
          <cell r="B17" t="str">
            <v>2.Kind: 92 €</v>
          </cell>
          <cell r="C17">
            <v>-92</v>
          </cell>
          <cell r="D17" t="str">
            <v>2.Kind</v>
          </cell>
        </row>
        <row r="18">
          <cell r="A18">
            <v>4</v>
          </cell>
          <cell r="B18" t="str">
            <v>3.Kind: 95 €</v>
          </cell>
          <cell r="C18">
            <v>-95</v>
          </cell>
          <cell r="D18" t="str">
            <v>3.Kind</v>
          </cell>
        </row>
        <row r="19">
          <cell r="A19">
            <v>5</v>
          </cell>
          <cell r="B19" t="str">
            <v>w.Kind: 107,5 €</v>
          </cell>
          <cell r="C19">
            <v>-107.5</v>
          </cell>
          <cell r="D19" t="str">
            <v>w.Kind</v>
          </cell>
        </row>
        <row r="21">
          <cell r="A21">
            <v>1</v>
          </cell>
          <cell r="B21">
            <v>0</v>
          </cell>
          <cell r="C21">
            <v>0</v>
          </cell>
          <cell r="D21" t="str">
            <v xml:space="preserve"> </v>
          </cell>
          <cell r="E21">
            <v>1</v>
          </cell>
        </row>
        <row r="22">
          <cell r="A22">
            <v>2</v>
          </cell>
          <cell r="B22" t="str">
            <v>1.Kind: 92 €</v>
          </cell>
          <cell r="C22">
            <v>-92</v>
          </cell>
          <cell r="D22" t="str">
            <v>1.Kind</v>
          </cell>
        </row>
        <row r="23">
          <cell r="A23">
            <v>3</v>
          </cell>
          <cell r="B23" t="str">
            <v>2.Kind: 92 €</v>
          </cell>
          <cell r="C23">
            <v>-92</v>
          </cell>
          <cell r="D23" t="str">
            <v>2.Kind</v>
          </cell>
        </row>
        <row r="24">
          <cell r="A24">
            <v>4</v>
          </cell>
          <cell r="B24" t="str">
            <v>3.Kind: 95 €</v>
          </cell>
          <cell r="C24">
            <v>-95</v>
          </cell>
          <cell r="D24" t="str">
            <v>3.Kind</v>
          </cell>
        </row>
        <row r="25">
          <cell r="A25">
            <v>5</v>
          </cell>
          <cell r="B25" t="str">
            <v>w.Kind: 107,5 €</v>
          </cell>
          <cell r="C25">
            <v>-107.5</v>
          </cell>
          <cell r="D25" t="str">
            <v>w.Kind</v>
          </cell>
        </row>
        <row r="27">
          <cell r="A27">
            <v>1</v>
          </cell>
          <cell r="B27">
            <v>0</v>
          </cell>
          <cell r="C27">
            <v>0</v>
          </cell>
          <cell r="D27" t="str">
            <v xml:space="preserve"> </v>
          </cell>
          <cell r="E27">
            <v>1</v>
          </cell>
        </row>
        <row r="28">
          <cell r="A28">
            <v>2</v>
          </cell>
          <cell r="B28" t="str">
            <v>1.Kind: 92 €</v>
          </cell>
          <cell r="C28">
            <v>-92</v>
          </cell>
          <cell r="D28" t="str">
            <v>1.Kind</v>
          </cell>
        </row>
        <row r="29">
          <cell r="A29">
            <v>3</v>
          </cell>
          <cell r="B29" t="str">
            <v>2.Kind: 92 €</v>
          </cell>
          <cell r="C29">
            <v>-92</v>
          </cell>
          <cell r="D29" t="str">
            <v>2.Kind</v>
          </cell>
        </row>
        <row r="30">
          <cell r="A30">
            <v>4</v>
          </cell>
          <cell r="B30" t="str">
            <v>3.Kind: 95 €</v>
          </cell>
          <cell r="C30">
            <v>-95</v>
          </cell>
          <cell r="D30" t="str">
            <v>3.Kind</v>
          </cell>
        </row>
        <row r="31">
          <cell r="A31">
            <v>5</v>
          </cell>
          <cell r="B31" t="str">
            <v>w.Kind: 107,5 €</v>
          </cell>
          <cell r="C31">
            <v>-107.5</v>
          </cell>
          <cell r="D31" t="str">
            <v>w.Kind</v>
          </cell>
        </row>
        <row r="33">
          <cell r="A33">
            <v>1</v>
          </cell>
          <cell r="B33">
            <v>0</v>
          </cell>
          <cell r="C33">
            <v>0</v>
          </cell>
          <cell r="D33" t="str">
            <v xml:space="preserve"> </v>
          </cell>
          <cell r="E33">
            <v>1</v>
          </cell>
        </row>
        <row r="34">
          <cell r="A34">
            <v>2</v>
          </cell>
          <cell r="B34" t="str">
            <v>1.Kind: 92 €</v>
          </cell>
          <cell r="C34">
            <v>-92</v>
          </cell>
          <cell r="D34" t="str">
            <v>1.Kind</v>
          </cell>
        </row>
        <row r="35">
          <cell r="A35">
            <v>3</v>
          </cell>
          <cell r="B35" t="str">
            <v>2.Kind: 92 €</v>
          </cell>
          <cell r="C35">
            <v>-92</v>
          </cell>
          <cell r="D35" t="str">
            <v>2.Kind</v>
          </cell>
        </row>
        <row r="36">
          <cell r="A36">
            <v>4</v>
          </cell>
          <cell r="B36" t="str">
            <v>3.Kind: 95 €</v>
          </cell>
          <cell r="C36">
            <v>-95</v>
          </cell>
          <cell r="D36" t="str">
            <v>3.Kind</v>
          </cell>
        </row>
        <row r="37">
          <cell r="A37">
            <v>5</v>
          </cell>
          <cell r="B37" t="str">
            <v>w.Kind: 107,5 €</v>
          </cell>
          <cell r="C37">
            <v>-107.5</v>
          </cell>
          <cell r="D37" t="str">
            <v>w.Kind</v>
          </cell>
        </row>
        <row r="39">
          <cell r="A39">
            <v>1</v>
          </cell>
          <cell r="B39">
            <v>0</v>
          </cell>
          <cell r="C39">
            <v>0</v>
          </cell>
          <cell r="D39" t="str">
            <v xml:space="preserve"> </v>
          </cell>
          <cell r="E39">
            <v>1</v>
          </cell>
        </row>
        <row r="40">
          <cell r="A40">
            <v>2</v>
          </cell>
          <cell r="B40" t="str">
            <v>1.Kind: 92 €</v>
          </cell>
          <cell r="C40">
            <v>-92</v>
          </cell>
          <cell r="D40" t="str">
            <v>1.Kind</v>
          </cell>
        </row>
        <row r="41">
          <cell r="A41">
            <v>3</v>
          </cell>
          <cell r="B41" t="str">
            <v>2.Kind: 92 €</v>
          </cell>
          <cell r="C41">
            <v>-92</v>
          </cell>
          <cell r="D41" t="str">
            <v>2.Kind</v>
          </cell>
        </row>
        <row r="42">
          <cell r="A42">
            <v>4</v>
          </cell>
          <cell r="B42" t="str">
            <v>3.Kind: 95 €</v>
          </cell>
          <cell r="C42">
            <v>-95</v>
          </cell>
          <cell r="D42" t="str">
            <v>3.Kind</v>
          </cell>
        </row>
        <row r="43">
          <cell r="A43">
            <v>5</v>
          </cell>
          <cell r="B43" t="str">
            <v>w.Kind: 107,5 €</v>
          </cell>
          <cell r="C43">
            <v>-107.5</v>
          </cell>
          <cell r="D43" t="str">
            <v>w.Kind</v>
          </cell>
        </row>
        <row r="45">
          <cell r="A45">
            <v>1</v>
          </cell>
          <cell r="B45">
            <v>0</v>
          </cell>
          <cell r="C45">
            <v>0</v>
          </cell>
          <cell r="D45" t="str">
            <v xml:space="preserve"> </v>
          </cell>
          <cell r="E45">
            <v>1</v>
          </cell>
        </row>
        <row r="46">
          <cell r="A46">
            <v>2</v>
          </cell>
          <cell r="B46" t="str">
            <v>1.Kind: 92 €</v>
          </cell>
          <cell r="C46">
            <v>-92</v>
          </cell>
          <cell r="D46" t="str">
            <v>1.Kind</v>
          </cell>
        </row>
        <row r="47">
          <cell r="A47">
            <v>3</v>
          </cell>
          <cell r="B47" t="str">
            <v>2.Kind: 92 €</v>
          </cell>
          <cell r="C47">
            <v>-92</v>
          </cell>
          <cell r="D47" t="str">
            <v>2.Kind</v>
          </cell>
        </row>
        <row r="48">
          <cell r="A48">
            <v>4</v>
          </cell>
          <cell r="B48" t="str">
            <v>3.Kind: 95 €</v>
          </cell>
          <cell r="C48">
            <v>-95</v>
          </cell>
          <cell r="D48" t="str">
            <v>3.Kind</v>
          </cell>
        </row>
        <row r="49">
          <cell r="A49">
            <v>5</v>
          </cell>
          <cell r="B49" t="str">
            <v>w.Kind: 107,5 €</v>
          </cell>
          <cell r="C49">
            <v>-107.5</v>
          </cell>
          <cell r="D49" t="str">
            <v>w.Kind</v>
          </cell>
        </row>
        <row r="51">
          <cell r="A51">
            <v>1</v>
          </cell>
          <cell r="B51">
            <v>0</v>
          </cell>
          <cell r="C51">
            <v>0</v>
          </cell>
          <cell r="D51" t="str">
            <v xml:space="preserve"> </v>
          </cell>
          <cell r="E51">
            <v>1</v>
          </cell>
        </row>
        <row r="52">
          <cell r="A52">
            <v>2</v>
          </cell>
          <cell r="B52" t="str">
            <v>1.Kind: 92 €</v>
          </cell>
          <cell r="C52">
            <v>-92</v>
          </cell>
          <cell r="D52" t="str">
            <v>1.Kind</v>
          </cell>
        </row>
        <row r="53">
          <cell r="A53">
            <v>3</v>
          </cell>
          <cell r="B53" t="str">
            <v>2.Kind: 92 €</v>
          </cell>
          <cell r="C53">
            <v>-92</v>
          </cell>
          <cell r="D53" t="str">
            <v>2.Kind</v>
          </cell>
        </row>
        <row r="54">
          <cell r="A54">
            <v>4</v>
          </cell>
          <cell r="B54" t="str">
            <v>3.Kind: 95 €</v>
          </cell>
          <cell r="C54">
            <v>-95</v>
          </cell>
          <cell r="D54" t="str">
            <v>3.Kind</v>
          </cell>
        </row>
        <row r="55">
          <cell r="A55">
            <v>5</v>
          </cell>
          <cell r="B55" t="str">
            <v>w.Kind: 107,5 €</v>
          </cell>
          <cell r="C55">
            <v>-107.5</v>
          </cell>
          <cell r="D55" t="str">
            <v>w.Kind</v>
          </cell>
        </row>
        <row r="57">
          <cell r="A57">
            <v>1</v>
          </cell>
          <cell r="B57">
            <v>0</v>
          </cell>
          <cell r="C57">
            <v>0</v>
          </cell>
          <cell r="D57" t="str">
            <v xml:space="preserve"> </v>
          </cell>
          <cell r="E57">
            <v>1</v>
          </cell>
        </row>
        <row r="58">
          <cell r="A58">
            <v>2</v>
          </cell>
          <cell r="B58" t="str">
            <v>1.Kind: 92 €</v>
          </cell>
          <cell r="C58">
            <v>-92</v>
          </cell>
          <cell r="D58" t="str">
            <v>1.Kind</v>
          </cell>
        </row>
        <row r="59">
          <cell r="A59">
            <v>3</v>
          </cell>
          <cell r="B59" t="str">
            <v>2.Kind: 92 €</v>
          </cell>
          <cell r="C59">
            <v>-92</v>
          </cell>
          <cell r="D59" t="str">
            <v>2.Kind</v>
          </cell>
        </row>
        <row r="60">
          <cell r="A60">
            <v>4</v>
          </cell>
          <cell r="B60" t="str">
            <v>3.Kind: 95 €</v>
          </cell>
          <cell r="C60">
            <v>-95</v>
          </cell>
          <cell r="D60" t="str">
            <v>3.Kind</v>
          </cell>
        </row>
        <row r="61">
          <cell r="A61">
            <v>5</v>
          </cell>
          <cell r="B61" t="str">
            <v>w.Kind: 107,5 €</v>
          </cell>
          <cell r="C61">
            <v>-107.5</v>
          </cell>
          <cell r="D61" t="str">
            <v>w.Kind</v>
          </cell>
        </row>
        <row r="63">
          <cell r="A63">
            <v>1</v>
          </cell>
          <cell r="B63">
            <v>0</v>
          </cell>
          <cell r="C63">
            <v>0</v>
          </cell>
          <cell r="D63" t="str">
            <v xml:space="preserve"> </v>
          </cell>
          <cell r="E63">
            <v>1</v>
          </cell>
        </row>
        <row r="64">
          <cell r="A64">
            <v>2</v>
          </cell>
          <cell r="B64" t="str">
            <v>1.Kind: 92 €</v>
          </cell>
          <cell r="C64">
            <v>-92</v>
          </cell>
          <cell r="D64" t="str">
            <v>1.Kind</v>
          </cell>
        </row>
        <row r="65">
          <cell r="A65">
            <v>3</v>
          </cell>
          <cell r="B65" t="str">
            <v>2.Kind: 92 €</v>
          </cell>
          <cell r="C65">
            <v>-92</v>
          </cell>
          <cell r="D65" t="str">
            <v>2.Kind</v>
          </cell>
        </row>
        <row r="66">
          <cell r="A66">
            <v>4</v>
          </cell>
          <cell r="B66" t="str">
            <v>3.Kind: 95 €</v>
          </cell>
          <cell r="C66">
            <v>-95</v>
          </cell>
          <cell r="D66" t="str">
            <v>3.Kind</v>
          </cell>
        </row>
        <row r="67">
          <cell r="A67">
            <v>5</v>
          </cell>
          <cell r="B67" t="str">
            <v>w.Kind: 107,5 €</v>
          </cell>
          <cell r="C67">
            <v>-107.5</v>
          </cell>
          <cell r="D67" t="str">
            <v>w.Kind</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uptberechnung"/>
      <sheetName val="Nichtselbst.+Sonst. Einkommen"/>
      <sheetName val="Einkommen Selbstständigkeit"/>
      <sheetName val="Auswahlwerte"/>
      <sheetName val="KB-Tab"/>
      <sheetName val="UH-Nebenrechnung"/>
      <sheetName val="Kostenbeitragstabelle"/>
      <sheetName val="AuswahlwerteNR"/>
      <sheetName val="Düss Tab"/>
      <sheetName val="Kalender"/>
    </sheetNames>
    <sheetDataSet>
      <sheetData sheetId="0">
        <row r="16">
          <cell r="P16">
            <v>184</v>
          </cell>
        </row>
      </sheetData>
      <sheetData sheetId="1"/>
      <sheetData sheetId="2">
        <row r="4">
          <cell r="D4" t="str">
            <v>2010</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kostenbeitrag.de/"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kostenbeitrag.de/" TargetMode="External"/><Relationship Id="rId5" Type="http://schemas.openxmlformats.org/officeDocument/2006/relationships/ctrlProp" Target="../ctrlProps/ctrlProp7.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3" Type="http://schemas.openxmlformats.org/officeDocument/2006/relationships/drawing" Target="../drawings/drawing3.x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 Type="http://schemas.openxmlformats.org/officeDocument/2006/relationships/printerSettings" Target="../printerSettings/printerSettings3.bin"/><Relationship Id="rId16" Type="http://schemas.openxmlformats.org/officeDocument/2006/relationships/ctrlProp" Target="../ctrlProps/ctrlProp19.xml"/><Relationship Id="rId20" Type="http://schemas.openxmlformats.org/officeDocument/2006/relationships/ctrlProp" Target="../ctrlProps/ctrlProp23.xml"/><Relationship Id="rId1" Type="http://schemas.openxmlformats.org/officeDocument/2006/relationships/hyperlink" Target="http://www.kostenbeitrag.de/" TargetMode="External"/><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5" Type="http://schemas.openxmlformats.org/officeDocument/2006/relationships/ctrlProp" Target="../ctrlProps/ctrlProp18.xml"/><Relationship Id="rId10" Type="http://schemas.openxmlformats.org/officeDocument/2006/relationships/ctrlProp" Target="../ctrlProps/ctrlProp13.xml"/><Relationship Id="rId19" Type="http://schemas.openxmlformats.org/officeDocument/2006/relationships/ctrlProp" Target="../ctrlProps/ctrlProp22.xml"/><Relationship Id="rId4" Type="http://schemas.openxmlformats.org/officeDocument/2006/relationships/vmlDrawing" Target="../drawings/vmlDrawing3.v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kostenbeitrag.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kostenbeitrag.d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8"/>
  </sheetPr>
  <dimension ref="A1:Z130"/>
  <sheetViews>
    <sheetView showGridLines="0" showRowColHeaders="0" tabSelected="1" workbookViewId="0">
      <pane ySplit="3" topLeftCell="A4" activePane="bottomLeft" state="frozenSplit"/>
      <selection activeCell="K9" sqref="K9:W9"/>
      <selection pane="bottomLeft" activeCell="K9" sqref="K9:R9"/>
    </sheetView>
  </sheetViews>
  <sheetFormatPr baseColWidth="10" defaultRowHeight="15.95" customHeight="1" x14ac:dyDescent="0.2"/>
  <cols>
    <col min="1" max="13" width="4.7109375" style="79" customWidth="1"/>
    <col min="14" max="14" width="4.7109375" style="85" customWidth="1"/>
    <col min="15" max="23" width="4.7109375" style="79" customWidth="1"/>
    <col min="24" max="24" width="4.7109375" style="85" customWidth="1"/>
    <col min="25" max="25" width="4.7109375" style="79" customWidth="1"/>
    <col min="26" max="26" width="58.7109375" style="314" customWidth="1"/>
    <col min="27" max="16384" width="11.42578125" style="79"/>
  </cols>
  <sheetData>
    <row r="1" spans="1:26" s="100" customFormat="1" ht="21.75" customHeight="1" x14ac:dyDescent="0.2">
      <c r="A1" s="103"/>
      <c r="B1" s="50" t="s">
        <v>131</v>
      </c>
      <c r="C1" s="50"/>
      <c r="D1" s="50"/>
      <c r="E1" s="50"/>
      <c r="F1" s="50"/>
      <c r="G1" s="50"/>
      <c r="H1" s="50"/>
      <c r="I1" s="50"/>
      <c r="J1" s="50"/>
      <c r="K1" s="438" t="s">
        <v>132</v>
      </c>
      <c r="L1" s="438"/>
      <c r="M1" s="438"/>
      <c r="N1" s="438"/>
      <c r="O1" s="50"/>
      <c r="P1" s="50"/>
      <c r="Q1" s="106" t="s">
        <v>134</v>
      </c>
      <c r="R1" s="439">
        <v>42370</v>
      </c>
      <c r="S1" s="439"/>
      <c r="T1" s="50"/>
      <c r="U1" s="51" t="s">
        <v>133</v>
      </c>
      <c r="V1" s="439">
        <v>43159</v>
      </c>
      <c r="W1" s="440"/>
      <c r="X1" s="52"/>
      <c r="Y1" s="50"/>
      <c r="Z1" s="50" t="s">
        <v>206</v>
      </c>
    </row>
    <row r="2" spans="1:26" s="53" customFormat="1" ht="12" x14ac:dyDescent="0.2">
      <c r="B2" s="159" t="str">
        <f>"Kostenbeitragsberechnung "&amp;NameJM&amp;" / "&amp;NamePflichtiger&amp;" für die Zeit ab "&amp;(DAY(KBZeitraumVon)&amp;"."&amp;MONTH(KBZeitraumVon)&amp;"."&amp;YEAR(KBZeitraumVon))</f>
        <v>Kostenbeitragsberechnung Name JM / Name Pflichtige/r für die Zeit ab 0.1.1900</v>
      </c>
      <c r="N2" s="54"/>
      <c r="X2" s="54"/>
      <c r="Y2" s="145"/>
      <c r="Z2" s="146"/>
    </row>
    <row r="3" spans="1:26" s="56" customFormat="1" ht="32.1" customHeight="1" x14ac:dyDescent="0.2">
      <c r="B3" s="55"/>
      <c r="N3" s="57"/>
      <c r="X3" s="57"/>
      <c r="Y3" s="147"/>
      <c r="Z3" s="146"/>
    </row>
    <row r="4" spans="1:26" s="59" customFormat="1" ht="20.25" x14ac:dyDescent="0.2">
      <c r="B4" s="58" t="s">
        <v>118</v>
      </c>
      <c r="N4" s="60"/>
      <c r="X4" s="60"/>
      <c r="Y4" s="148"/>
      <c r="Z4" s="149" t="s">
        <v>224</v>
      </c>
    </row>
    <row r="5" spans="1:26" s="62" customFormat="1" ht="15.95" customHeight="1" x14ac:dyDescent="0.2">
      <c r="B5" s="61" t="s">
        <v>355</v>
      </c>
      <c r="N5" s="63"/>
      <c r="X5" s="63"/>
      <c r="Y5" s="150"/>
      <c r="Z5" s="149"/>
    </row>
    <row r="6" spans="1:26" s="62" customFormat="1" ht="15.95" customHeight="1" x14ac:dyDescent="0.2">
      <c r="B6" s="64"/>
      <c r="N6" s="63"/>
      <c r="X6" s="63"/>
      <c r="Y6" s="150"/>
      <c r="Z6" s="149"/>
    </row>
    <row r="7" spans="1:26" s="68" customFormat="1" ht="20.100000000000001" customHeight="1" x14ac:dyDescent="0.2">
      <c r="B7" s="65" t="s">
        <v>127</v>
      </c>
      <c r="C7" s="66"/>
      <c r="D7" s="66"/>
      <c r="E7" s="66"/>
      <c r="F7" s="66"/>
      <c r="G7" s="66"/>
      <c r="H7" s="66"/>
      <c r="I7" s="66"/>
      <c r="J7" s="66"/>
      <c r="K7" s="66"/>
      <c r="L7" s="66"/>
      <c r="M7" s="66"/>
      <c r="N7" s="67"/>
      <c r="O7" s="66"/>
      <c r="P7" s="66"/>
      <c r="Q7" s="66"/>
      <c r="R7" s="66"/>
      <c r="S7" s="66"/>
      <c r="T7" s="66"/>
      <c r="U7" s="66"/>
      <c r="V7" s="66"/>
      <c r="W7" s="66"/>
      <c r="X7" s="67"/>
      <c r="Y7" s="150"/>
      <c r="Z7" s="428" t="s">
        <v>241</v>
      </c>
    </row>
    <row r="8" spans="1:26" s="68" customFormat="1" ht="8.1" customHeight="1" x14ac:dyDescent="0.2">
      <c r="N8" s="69"/>
      <c r="X8" s="69"/>
      <c r="Y8" s="150"/>
      <c r="Z8" s="428"/>
    </row>
    <row r="9" spans="1:26" s="71" customFormat="1" ht="15.95" customHeight="1" x14ac:dyDescent="0.2">
      <c r="B9" s="97" t="s">
        <v>394</v>
      </c>
      <c r="C9" s="68"/>
      <c r="D9" s="68"/>
      <c r="E9" s="68"/>
      <c r="F9" s="68"/>
      <c r="G9" s="68"/>
      <c r="H9" s="68"/>
      <c r="I9" s="68"/>
      <c r="J9" s="68"/>
      <c r="K9" s="435" t="s">
        <v>395</v>
      </c>
      <c r="L9" s="435"/>
      <c r="M9" s="435"/>
      <c r="N9" s="435"/>
      <c r="O9" s="435"/>
      <c r="P9" s="435"/>
      <c r="Q9" s="435"/>
      <c r="R9" s="435"/>
      <c r="S9" s="62"/>
      <c r="T9" s="435" t="s">
        <v>396</v>
      </c>
      <c r="U9" s="435"/>
      <c r="V9" s="435"/>
      <c r="W9" s="435"/>
      <c r="X9" s="70"/>
      <c r="Y9" s="150"/>
      <c r="Z9" s="428"/>
    </row>
    <row r="10" spans="1:26" s="68" customFormat="1" ht="8.1" customHeight="1" x14ac:dyDescent="0.2">
      <c r="N10" s="69"/>
      <c r="X10" s="69"/>
      <c r="Y10" s="150"/>
      <c r="Z10" s="428"/>
    </row>
    <row r="11" spans="1:26" s="71" customFormat="1" ht="15.95" customHeight="1" x14ac:dyDescent="0.2">
      <c r="B11" s="68" t="s">
        <v>128</v>
      </c>
      <c r="C11" s="68"/>
      <c r="D11" s="68"/>
      <c r="E11" s="68"/>
      <c r="F11" s="68"/>
      <c r="G11" s="68"/>
      <c r="H11" s="68"/>
      <c r="I11" s="68"/>
      <c r="J11" s="68"/>
      <c r="K11" s="435" t="s">
        <v>230</v>
      </c>
      <c r="L11" s="435"/>
      <c r="M11" s="435"/>
      <c r="N11" s="435"/>
      <c r="O11" s="435"/>
      <c r="P11" s="435"/>
      <c r="Q11" s="435"/>
      <c r="R11" s="435"/>
      <c r="S11" s="435"/>
      <c r="T11" s="435"/>
      <c r="U11" s="435"/>
      <c r="V11" s="435"/>
      <c r="W11" s="435"/>
      <c r="X11" s="70"/>
      <c r="Y11" s="150"/>
      <c r="Z11" s="428"/>
    </row>
    <row r="12" spans="1:26" s="71" customFormat="1" ht="15.95" customHeight="1" x14ac:dyDescent="0.2">
      <c r="K12" s="72"/>
      <c r="L12" s="72"/>
      <c r="M12" s="72"/>
      <c r="N12" s="70"/>
      <c r="O12" s="72"/>
      <c r="P12" s="72"/>
      <c r="Q12" s="72"/>
      <c r="R12" s="72"/>
      <c r="S12" s="72"/>
      <c r="T12" s="72"/>
      <c r="U12" s="72"/>
      <c r="V12" s="72"/>
      <c r="W12" s="72"/>
      <c r="X12" s="70"/>
      <c r="Y12" s="150"/>
      <c r="Z12" s="149"/>
    </row>
    <row r="13" spans="1:26" s="75" customFormat="1" ht="15.95" customHeight="1" x14ac:dyDescent="0.2">
      <c r="B13" s="71" t="s">
        <v>129</v>
      </c>
      <c r="C13" s="71"/>
      <c r="D13" s="71"/>
      <c r="E13" s="71"/>
      <c r="F13" s="71"/>
      <c r="G13" s="71"/>
      <c r="H13" s="71"/>
      <c r="I13" s="71"/>
      <c r="J13" s="71"/>
      <c r="K13" s="442"/>
      <c r="L13" s="435"/>
      <c r="M13" s="435"/>
      <c r="O13" s="73" t="str">
        <f>IF(K13=""," &lt;&lt;&lt; Geburtsdatum ist Pflichtfeld!","")</f>
        <v xml:space="preserve"> &lt;&lt;&lt; Geburtsdatum ist Pflichtfeld!</v>
      </c>
      <c r="P13" s="74"/>
      <c r="Q13" s="74"/>
      <c r="R13" s="74"/>
      <c r="S13" s="74"/>
      <c r="T13" s="74"/>
      <c r="X13" s="76"/>
      <c r="Y13" s="150"/>
      <c r="Z13" s="428" t="s">
        <v>44</v>
      </c>
    </row>
    <row r="14" spans="1:26" s="75" customFormat="1" ht="15.95" customHeight="1" x14ac:dyDescent="0.2">
      <c r="X14" s="76"/>
      <c r="Y14" s="150"/>
      <c r="Z14" s="428"/>
    </row>
    <row r="15" spans="1:26" s="71" customFormat="1" ht="15.95" customHeight="1" x14ac:dyDescent="0.2">
      <c r="B15" s="75" t="s">
        <v>130</v>
      </c>
      <c r="C15" s="75"/>
      <c r="D15" s="75"/>
      <c r="E15" s="75"/>
      <c r="F15" s="75"/>
      <c r="G15" s="75"/>
      <c r="H15" s="75"/>
      <c r="I15" s="75"/>
      <c r="J15" s="75"/>
      <c r="K15" s="435" t="s">
        <v>231</v>
      </c>
      <c r="L15" s="435"/>
      <c r="M15" s="435"/>
      <c r="N15" s="435"/>
      <c r="O15" s="435"/>
      <c r="P15" s="435"/>
      <c r="Q15" s="435"/>
      <c r="R15" s="435"/>
      <c r="S15" s="435"/>
      <c r="T15" s="435"/>
      <c r="U15" s="435"/>
      <c r="V15" s="435"/>
      <c r="W15" s="435"/>
      <c r="X15" s="70"/>
      <c r="Y15" s="150"/>
      <c r="Z15" s="149"/>
    </row>
    <row r="16" spans="1:26" s="71" customFormat="1" ht="15.95" customHeight="1" x14ac:dyDescent="0.2">
      <c r="N16" s="70"/>
      <c r="X16" s="70"/>
      <c r="Y16" s="150"/>
      <c r="Z16" s="424" t="s">
        <v>370</v>
      </c>
    </row>
    <row r="17" spans="2:26" s="71" customFormat="1" ht="15.95" customHeight="1" x14ac:dyDescent="0.2">
      <c r="B17" s="71" t="s">
        <v>216</v>
      </c>
      <c r="K17" s="442"/>
      <c r="L17" s="442"/>
      <c r="M17" s="442"/>
      <c r="O17" s="73" t="str">
        <f>IF(KBZeitraumVon=""," &lt;&lt;&lt; Von-Datum ist Pflichtfeld!","")</f>
        <v xml:space="preserve"> &lt;&lt;&lt; Von-Datum ist Pflichtfeld!</v>
      </c>
      <c r="X17" s="70"/>
      <c r="Y17" s="150"/>
      <c r="Z17" s="428"/>
    </row>
    <row r="18" spans="2:26" s="71" customFormat="1" ht="15.95" customHeight="1" x14ac:dyDescent="0.2">
      <c r="B18" s="96" t="str">
        <f>IF(AND(GebDatJM&lt;&gt;"",KBZeitraumVon&lt;&gt;"")=TRUE,IF(DATEDIF(GebDatJM,KBZeitraumVon,"D")&lt;6574,"Der o.g. junge Mensch ist am " &amp; DAY(KBZeitraumVon) &amp; "." &amp; MONTH(KBZeitraumVon) &amp; "." &amp; YEAR(KBZeitraumVon) &amp; " noch minderjährig. Diese Berechnung gilt nur für Volljährige!",""),"")</f>
        <v/>
      </c>
      <c r="K18" s="90"/>
      <c r="L18" s="90"/>
      <c r="M18" s="90"/>
      <c r="N18" s="90"/>
      <c r="O18" s="90"/>
      <c r="P18" s="90"/>
      <c r="Q18" s="90"/>
      <c r="R18" s="90"/>
      <c r="S18" s="90"/>
      <c r="T18" s="90"/>
      <c r="U18" s="90"/>
      <c r="V18" s="90"/>
      <c r="W18" s="90"/>
      <c r="X18" s="70"/>
      <c r="Y18" s="150"/>
      <c r="Z18" s="151"/>
    </row>
    <row r="19" spans="2:26" s="75" customFormat="1" ht="15.95" customHeight="1" x14ac:dyDescent="0.2">
      <c r="B19" s="71" t="s">
        <v>135</v>
      </c>
      <c r="C19" s="71"/>
      <c r="D19" s="71"/>
      <c r="E19" s="71"/>
      <c r="F19" s="71"/>
      <c r="G19" s="71"/>
      <c r="H19" s="71"/>
      <c r="I19" s="71"/>
      <c r="J19" s="71"/>
      <c r="K19" s="72" t="str">
        <f>VLOOKUP(Dropdown_Antrag93_4,EKZeitraumMatrix,2,FALSE)</f>
        <v>Bitte wählen…</v>
      </c>
      <c r="L19" s="71"/>
      <c r="M19" s="71"/>
      <c r="N19" s="70"/>
      <c r="O19" s="71"/>
      <c r="P19" s="71"/>
      <c r="Q19" s="71"/>
      <c r="R19" s="71"/>
      <c r="S19" s="77"/>
      <c r="X19" s="76"/>
      <c r="Y19" s="150"/>
      <c r="Z19" s="436" t="s">
        <v>373</v>
      </c>
    </row>
    <row r="20" spans="2:26" s="75" customFormat="1" ht="15.95" customHeight="1" x14ac:dyDescent="0.2">
      <c r="K20" s="383" t="str">
        <f>IF(Dropdown_Antrag93_4=1,"Auswahl treffen!","")</f>
        <v>Auswahl treffen!</v>
      </c>
      <c r="N20" s="76"/>
      <c r="X20" s="76"/>
      <c r="Y20" s="150"/>
      <c r="Z20" s="436"/>
    </row>
    <row r="21" spans="2:26" s="75" customFormat="1" ht="15.95" customHeight="1" x14ac:dyDescent="0.2">
      <c r="B21" s="75" t="str">
        <f>"Einkommen "&amp; IF(KBZeitraumVon="","",VLOOKUP(Dropdown_Antrag93_4,Dropdownfelder!A3:C6,3,FALSE))</f>
        <v xml:space="preserve">Einkommen </v>
      </c>
      <c r="K21" s="443" t="str">
        <f>VLOOKUP(Dropdownfelder!A2,EKZeitraumMatrix,4,FALSE)</f>
        <v xml:space="preserve"> </v>
      </c>
      <c r="L21" s="443"/>
      <c r="M21" s="443"/>
      <c r="N21" s="76" t="s">
        <v>119</v>
      </c>
      <c r="O21" s="444" t="str">
        <f>VLOOKUP(Dropdownfelder!A2,EKZeitraumMatrix,5,FALSE)</f>
        <v xml:space="preserve"> </v>
      </c>
      <c r="P21" s="444"/>
      <c r="Q21" s="444"/>
      <c r="U21" s="93">
        <f>IF(Dropdown_Antrag93_4=1,0,IF(AND(EKZeitraumVon&lt;&gt;"",EKZeitraumBis&lt;&gt;"",EKZeitraumVon&lt;&gt; "Eingabe !",EKZeitraumBis&lt;&gt; "Eingabe !")=TRUE,DATEDIF(EKZeitraumVon,EKZeitraumBis,"m")+1,0))</f>
        <v>0</v>
      </c>
      <c r="V21" s="78" t="str">
        <f>"Monat" &amp; IF(OR(EKMonate=0,EKMonate&gt;1)=TRUE,"e","")</f>
        <v>Monate</v>
      </c>
      <c r="X21" s="76"/>
      <c r="Y21" s="150"/>
      <c r="Z21" s="436"/>
    </row>
    <row r="22" spans="2:26" s="75" customFormat="1" ht="15.95" customHeight="1" x14ac:dyDescent="0.2">
      <c r="N22" s="76"/>
      <c r="X22" s="76"/>
      <c r="Y22" s="150"/>
      <c r="Z22" s="436"/>
    </row>
    <row r="23" spans="2:26" s="68" customFormat="1" ht="20.100000000000001" customHeight="1" x14ac:dyDescent="0.2">
      <c r="B23" s="65" t="s">
        <v>336</v>
      </c>
      <c r="C23" s="66"/>
      <c r="D23" s="66"/>
      <c r="E23" s="66"/>
      <c r="F23" s="66"/>
      <c r="G23" s="66"/>
      <c r="H23" s="66"/>
      <c r="I23" s="66"/>
      <c r="J23" s="66"/>
      <c r="K23" s="66"/>
      <c r="L23" s="66"/>
      <c r="M23" s="66"/>
      <c r="N23" s="67"/>
      <c r="O23" s="66"/>
      <c r="P23" s="66"/>
      <c r="Q23" s="66"/>
      <c r="R23" s="66"/>
      <c r="S23" s="66"/>
      <c r="T23" s="66"/>
      <c r="U23" s="66"/>
      <c r="V23" s="66"/>
      <c r="W23" s="66"/>
      <c r="X23" s="67"/>
      <c r="Y23" s="150"/>
      <c r="Z23" s="149"/>
    </row>
    <row r="24" spans="2:26" s="68" customFormat="1" ht="8.1" customHeight="1" x14ac:dyDescent="0.2">
      <c r="N24" s="69"/>
      <c r="X24" s="69"/>
      <c r="Y24" s="150"/>
      <c r="Z24" s="149"/>
    </row>
    <row r="25" spans="2:26" s="68" customFormat="1" ht="15.95" customHeight="1" x14ac:dyDescent="0.2">
      <c r="B25" s="64" t="s">
        <v>61</v>
      </c>
      <c r="N25" s="69"/>
      <c r="X25" s="69"/>
      <c r="Y25" s="150"/>
      <c r="Z25" s="149"/>
    </row>
    <row r="26" spans="2:26" s="68" customFormat="1" ht="8.1" customHeight="1" x14ac:dyDescent="0.2">
      <c r="N26" s="69"/>
      <c r="X26" s="69"/>
      <c r="Y26" s="150"/>
      <c r="Z26" s="149"/>
    </row>
    <row r="27" spans="2:26" s="62" customFormat="1" ht="15.95" customHeight="1" x14ac:dyDescent="0.2">
      <c r="B27" s="64" t="s">
        <v>138</v>
      </c>
      <c r="N27" s="63"/>
      <c r="Q27" s="78" t="s">
        <v>353</v>
      </c>
      <c r="X27" s="63"/>
      <c r="Y27" s="150"/>
      <c r="Z27" s="150"/>
    </row>
    <row r="28" spans="2:26" s="71" customFormat="1" ht="15.95" customHeight="1" x14ac:dyDescent="0.2">
      <c r="B28" s="10" t="s">
        <v>139</v>
      </c>
      <c r="C28" s="10"/>
      <c r="D28" s="10"/>
      <c r="E28" s="10"/>
      <c r="F28" s="10"/>
      <c r="G28" s="10"/>
      <c r="H28" s="79"/>
      <c r="I28" s="79"/>
      <c r="J28" s="79"/>
      <c r="K28" s="404">
        <v>0</v>
      </c>
      <c r="L28" s="404"/>
      <c r="M28" s="404"/>
      <c r="N28" s="70"/>
      <c r="Q28" s="71" t="s">
        <v>149</v>
      </c>
      <c r="U28" s="404">
        <v>0</v>
      </c>
      <c r="V28" s="404"/>
      <c r="W28" s="404"/>
      <c r="X28" s="70"/>
      <c r="Y28" s="150"/>
      <c r="Z28" s="437" t="s">
        <v>242</v>
      </c>
    </row>
    <row r="29" spans="2:26" s="71" customFormat="1" ht="15.95" customHeight="1" x14ac:dyDescent="0.2">
      <c r="B29" s="441" t="s">
        <v>140</v>
      </c>
      <c r="C29" s="441"/>
      <c r="D29" s="441"/>
      <c r="E29" s="441"/>
      <c r="F29" s="441"/>
      <c r="G29" s="441"/>
      <c r="H29" s="79"/>
      <c r="I29" s="79"/>
      <c r="J29" s="79"/>
      <c r="K29" s="404">
        <v>0</v>
      </c>
      <c r="L29" s="404"/>
      <c r="M29" s="404"/>
      <c r="N29" s="11" t="s">
        <v>162</v>
      </c>
      <c r="O29" s="79"/>
      <c r="P29" s="79"/>
      <c r="Q29" s="79" t="s">
        <v>150</v>
      </c>
      <c r="S29" s="79"/>
      <c r="T29" s="79"/>
      <c r="U29" s="404">
        <v>0</v>
      </c>
      <c r="V29" s="404"/>
      <c r="W29" s="404"/>
      <c r="X29" s="70" t="s">
        <v>162</v>
      </c>
      <c r="Y29" s="150"/>
      <c r="Z29" s="437"/>
    </row>
    <row r="30" spans="2:26" s="71" customFormat="1" ht="15.95" customHeight="1" x14ac:dyDescent="0.2">
      <c r="B30" s="441" t="s">
        <v>140</v>
      </c>
      <c r="C30" s="441"/>
      <c r="D30" s="441"/>
      <c r="E30" s="441"/>
      <c r="F30" s="441"/>
      <c r="G30" s="441"/>
      <c r="H30" s="79"/>
      <c r="I30" s="79"/>
      <c r="J30" s="79"/>
      <c r="K30" s="404">
        <v>0</v>
      </c>
      <c r="L30" s="404"/>
      <c r="M30" s="404"/>
      <c r="N30" s="11" t="s">
        <v>162</v>
      </c>
      <c r="O30" s="79"/>
      <c r="P30" s="79"/>
      <c r="Q30" s="79" t="s">
        <v>151</v>
      </c>
      <c r="S30" s="79"/>
      <c r="T30" s="79"/>
      <c r="U30" s="404">
        <v>0</v>
      </c>
      <c r="V30" s="404"/>
      <c r="W30" s="404"/>
      <c r="X30" s="70" t="s">
        <v>162</v>
      </c>
      <c r="Y30" s="150"/>
      <c r="Z30" s="437"/>
    </row>
    <row r="31" spans="2:26" s="71" customFormat="1" ht="15.95" customHeight="1" x14ac:dyDescent="0.2">
      <c r="B31" s="10" t="s">
        <v>141</v>
      </c>
      <c r="C31" s="10"/>
      <c r="D31" s="10"/>
      <c r="E31" s="10"/>
      <c r="F31" s="10"/>
      <c r="G31" s="10"/>
      <c r="H31" s="79"/>
      <c r="I31" s="79"/>
      <c r="J31" s="79"/>
      <c r="K31" s="404">
        <v>0</v>
      </c>
      <c r="L31" s="404"/>
      <c r="M31" s="404"/>
      <c r="N31" s="11" t="s">
        <v>163</v>
      </c>
      <c r="O31" s="79"/>
      <c r="P31" s="79"/>
      <c r="Q31" s="79" t="s">
        <v>152</v>
      </c>
      <c r="S31" s="79"/>
      <c r="T31" s="79"/>
      <c r="U31" s="404">
        <v>0</v>
      </c>
      <c r="V31" s="404"/>
      <c r="W31" s="404"/>
      <c r="X31" s="70" t="s">
        <v>162</v>
      </c>
      <c r="Y31" s="150"/>
      <c r="Z31" s="437"/>
    </row>
    <row r="32" spans="2:26" s="71" customFormat="1" ht="15.95" customHeight="1" x14ac:dyDescent="0.2">
      <c r="B32" s="10" t="s">
        <v>142</v>
      </c>
      <c r="C32" s="10"/>
      <c r="D32" s="10"/>
      <c r="E32" s="10"/>
      <c r="F32" s="10"/>
      <c r="G32" s="10"/>
      <c r="H32" s="79"/>
      <c r="I32" s="79"/>
      <c r="J32" s="79"/>
      <c r="K32" s="404">
        <v>0</v>
      </c>
      <c r="L32" s="404"/>
      <c r="M32" s="404"/>
      <c r="N32" s="11" t="s">
        <v>163</v>
      </c>
      <c r="O32" s="79"/>
      <c r="P32" s="79"/>
      <c r="Q32" s="79" t="s">
        <v>153</v>
      </c>
      <c r="S32" s="79"/>
      <c r="T32" s="79"/>
      <c r="U32" s="404">
        <v>0</v>
      </c>
      <c r="V32" s="404"/>
      <c r="W32" s="404"/>
      <c r="X32" s="70" t="s">
        <v>162</v>
      </c>
      <c r="Y32" s="150"/>
      <c r="Z32" s="437"/>
    </row>
    <row r="33" spans="2:26" s="71" customFormat="1" ht="15.95" customHeight="1" x14ac:dyDescent="0.2">
      <c r="B33" s="10" t="s">
        <v>143</v>
      </c>
      <c r="C33" s="10"/>
      <c r="D33" s="10"/>
      <c r="E33" s="10"/>
      <c r="F33" s="10"/>
      <c r="G33" s="10"/>
      <c r="H33" s="79"/>
      <c r="I33" s="79"/>
      <c r="J33" s="79"/>
      <c r="K33" s="404">
        <v>0</v>
      </c>
      <c r="L33" s="404"/>
      <c r="M33" s="404"/>
      <c r="N33" s="11" t="s">
        <v>163</v>
      </c>
      <c r="O33" s="79"/>
      <c r="P33" s="79"/>
      <c r="Q33" s="79" t="s">
        <v>154</v>
      </c>
      <c r="S33" s="79"/>
      <c r="T33" s="79"/>
      <c r="U33" s="404">
        <v>0</v>
      </c>
      <c r="V33" s="404"/>
      <c r="W33" s="404"/>
      <c r="X33" s="70" t="s">
        <v>162</v>
      </c>
      <c r="Y33" s="150"/>
      <c r="Z33" s="437"/>
    </row>
    <row r="34" spans="2:26" s="71" customFormat="1" ht="15.95" customHeight="1" x14ac:dyDescent="0.2">
      <c r="B34" s="10" t="s">
        <v>144</v>
      </c>
      <c r="C34" s="10"/>
      <c r="D34" s="10"/>
      <c r="E34" s="10"/>
      <c r="F34" s="10"/>
      <c r="G34" s="10"/>
      <c r="H34" s="79"/>
      <c r="I34" s="79"/>
      <c r="J34" s="79"/>
      <c r="K34" s="404">
        <v>0</v>
      </c>
      <c r="L34" s="404"/>
      <c r="M34" s="404"/>
      <c r="N34" s="11" t="s">
        <v>163</v>
      </c>
      <c r="O34" s="79"/>
      <c r="P34" s="79"/>
      <c r="Q34" s="79" t="s">
        <v>155</v>
      </c>
      <c r="S34" s="79"/>
      <c r="T34" s="79"/>
      <c r="U34" s="404">
        <v>0</v>
      </c>
      <c r="V34" s="404"/>
      <c r="W34" s="404"/>
      <c r="X34" s="70" t="s">
        <v>162</v>
      </c>
      <c r="Y34" s="150"/>
      <c r="Z34" s="437"/>
    </row>
    <row r="35" spans="2:26" s="71" customFormat="1" ht="15.95" customHeight="1" x14ac:dyDescent="0.2">
      <c r="B35" s="10" t="s">
        <v>145</v>
      </c>
      <c r="C35" s="10"/>
      <c r="D35" s="10"/>
      <c r="E35" s="10"/>
      <c r="F35" s="10"/>
      <c r="G35" s="10"/>
      <c r="H35" s="79"/>
      <c r="I35" s="79"/>
      <c r="J35" s="79"/>
      <c r="K35" s="404">
        <v>0</v>
      </c>
      <c r="L35" s="404"/>
      <c r="M35" s="404"/>
      <c r="N35" s="11" t="s">
        <v>163</v>
      </c>
      <c r="O35" s="79"/>
      <c r="P35" s="79"/>
      <c r="Q35" s="79" t="s">
        <v>156</v>
      </c>
      <c r="S35" s="79"/>
      <c r="T35" s="79"/>
      <c r="U35" s="404">
        <v>0</v>
      </c>
      <c r="V35" s="404"/>
      <c r="W35" s="404"/>
      <c r="X35" s="70" t="s">
        <v>162</v>
      </c>
      <c r="Y35" s="150"/>
      <c r="Z35" s="437"/>
    </row>
    <row r="36" spans="2:26" s="71" customFormat="1" ht="15.95" customHeight="1" x14ac:dyDescent="0.2">
      <c r="B36" s="10" t="s">
        <v>146</v>
      </c>
      <c r="C36" s="10"/>
      <c r="D36" s="10"/>
      <c r="E36" s="10"/>
      <c r="F36" s="10"/>
      <c r="G36" s="10"/>
      <c r="H36" s="79"/>
      <c r="I36" s="79"/>
      <c r="J36" s="79"/>
      <c r="K36" s="404">
        <v>0</v>
      </c>
      <c r="L36" s="404"/>
      <c r="M36" s="404"/>
      <c r="N36" s="11" t="s">
        <v>163</v>
      </c>
      <c r="O36" s="79"/>
      <c r="P36" s="79"/>
      <c r="Q36" s="79" t="s">
        <v>157</v>
      </c>
      <c r="S36" s="79"/>
      <c r="T36" s="79"/>
      <c r="U36" s="404">
        <v>0</v>
      </c>
      <c r="V36" s="404"/>
      <c r="W36" s="404"/>
      <c r="X36" s="70" t="s">
        <v>162</v>
      </c>
      <c r="Y36" s="150"/>
      <c r="Z36" s="437"/>
    </row>
    <row r="37" spans="2:26" s="71" customFormat="1" ht="15.95" customHeight="1" x14ac:dyDescent="0.2">
      <c r="B37" s="10" t="s">
        <v>147</v>
      </c>
      <c r="C37" s="10"/>
      <c r="D37" s="10"/>
      <c r="E37" s="10"/>
      <c r="F37" s="10"/>
      <c r="G37" s="10"/>
      <c r="H37" s="79"/>
      <c r="I37" s="79"/>
      <c r="J37" s="79"/>
      <c r="K37" s="404">
        <v>0</v>
      </c>
      <c r="L37" s="404"/>
      <c r="M37" s="404"/>
      <c r="N37" s="11" t="s">
        <v>163</v>
      </c>
      <c r="O37" s="79"/>
      <c r="P37" s="79"/>
      <c r="Q37" s="79" t="s">
        <v>158</v>
      </c>
      <c r="S37" s="79"/>
      <c r="T37" s="79"/>
      <c r="U37" s="404">
        <v>0</v>
      </c>
      <c r="V37" s="404"/>
      <c r="W37" s="404"/>
      <c r="X37" s="70" t="s">
        <v>162</v>
      </c>
      <c r="Y37" s="150"/>
      <c r="Z37" s="437"/>
    </row>
    <row r="38" spans="2:26" s="71" customFormat="1" ht="15.95" customHeight="1" x14ac:dyDescent="0.2">
      <c r="B38" s="413" t="s">
        <v>148</v>
      </c>
      <c r="C38" s="413"/>
      <c r="D38" s="413"/>
      <c r="E38" s="413"/>
      <c r="F38" s="413"/>
      <c r="G38" s="413"/>
      <c r="H38" s="413"/>
      <c r="I38" s="413"/>
      <c r="J38" s="79"/>
      <c r="K38" s="404">
        <v>0</v>
      </c>
      <c r="L38" s="404"/>
      <c r="M38" s="404"/>
      <c r="N38" s="11" t="s">
        <v>163</v>
      </c>
      <c r="O38" s="79"/>
      <c r="P38" s="79"/>
      <c r="Q38" s="79" t="s">
        <v>159</v>
      </c>
      <c r="S38" s="79"/>
      <c r="T38" s="79"/>
      <c r="U38" s="404">
        <v>0</v>
      </c>
      <c r="V38" s="404"/>
      <c r="W38" s="404"/>
      <c r="X38" s="70" t="s">
        <v>162</v>
      </c>
      <c r="Y38" s="150"/>
      <c r="Z38" s="437"/>
    </row>
    <row r="39" spans="2:26" s="71" customFormat="1" ht="15.95" customHeight="1" x14ac:dyDescent="0.2">
      <c r="B39" s="413" t="s">
        <v>148</v>
      </c>
      <c r="C39" s="413"/>
      <c r="D39" s="413"/>
      <c r="E39" s="413"/>
      <c r="F39" s="413"/>
      <c r="G39" s="413"/>
      <c r="H39" s="413"/>
      <c r="I39" s="413"/>
      <c r="J39" s="79"/>
      <c r="K39" s="410">
        <v>0</v>
      </c>
      <c r="L39" s="410"/>
      <c r="M39" s="410"/>
      <c r="N39" s="12" t="s">
        <v>163</v>
      </c>
      <c r="O39" s="79"/>
      <c r="P39" s="79"/>
      <c r="Q39" s="79" t="s">
        <v>160</v>
      </c>
      <c r="S39" s="79"/>
      <c r="T39" s="79"/>
      <c r="U39" s="410">
        <v>0</v>
      </c>
      <c r="V39" s="410"/>
      <c r="W39" s="410"/>
      <c r="X39" s="80" t="s">
        <v>162</v>
      </c>
      <c r="Y39" s="150"/>
      <c r="Z39" s="437"/>
    </row>
    <row r="40" spans="2:26" s="71" customFormat="1" ht="3.95" customHeight="1" x14ac:dyDescent="0.2">
      <c r="B40" s="44"/>
      <c r="C40" s="44"/>
      <c r="D40" s="44"/>
      <c r="E40" s="44"/>
      <c r="F40" s="44"/>
      <c r="G40" s="44"/>
      <c r="H40" s="79"/>
      <c r="I40" s="79"/>
      <c r="J40" s="79"/>
      <c r="K40" s="81"/>
      <c r="L40" s="81"/>
      <c r="M40" s="81"/>
      <c r="N40" s="48"/>
      <c r="O40" s="79"/>
      <c r="P40" s="79"/>
      <c r="Q40" s="79"/>
      <c r="S40" s="79"/>
      <c r="T40" s="79"/>
      <c r="U40" s="81"/>
      <c r="V40" s="81"/>
      <c r="W40" s="81"/>
      <c r="X40" s="82"/>
      <c r="Y40" s="150"/>
      <c r="Z40" s="152"/>
    </row>
    <row r="41" spans="2:26" ht="15.95" customHeight="1" x14ac:dyDescent="0.2">
      <c r="B41" s="10" t="s">
        <v>198</v>
      </c>
      <c r="C41" s="10"/>
      <c r="D41" s="10"/>
      <c r="E41" s="10"/>
      <c r="F41" s="10"/>
      <c r="G41" s="10"/>
      <c r="I41" s="83"/>
      <c r="J41" s="83"/>
      <c r="K41" s="416">
        <f>SUM(K28:M30)-SUM(K31:M39)</f>
        <v>0</v>
      </c>
      <c r="L41" s="416"/>
      <c r="M41" s="416"/>
      <c r="N41" s="84"/>
      <c r="O41" s="83"/>
      <c r="P41" s="83"/>
      <c r="Q41" s="49" t="s">
        <v>197</v>
      </c>
      <c r="R41" s="83"/>
      <c r="S41" s="83"/>
      <c r="T41" s="83"/>
      <c r="U41" s="416">
        <f>SUM(U28:W39)</f>
        <v>0</v>
      </c>
      <c r="V41" s="416"/>
      <c r="W41" s="416"/>
      <c r="Y41" s="150"/>
      <c r="Z41" s="152"/>
    </row>
    <row r="42" spans="2:26" ht="15.95" customHeight="1" x14ac:dyDescent="0.2">
      <c r="Y42" s="150"/>
      <c r="Z42" s="149"/>
    </row>
    <row r="43" spans="2:26" ht="15.95" customHeight="1" x14ac:dyDescent="0.2">
      <c r="B43" s="79" t="s">
        <v>199</v>
      </c>
      <c r="K43" s="411">
        <f>K41</f>
        <v>0</v>
      </c>
      <c r="L43" s="412"/>
      <c r="M43" s="412"/>
      <c r="N43" s="79"/>
      <c r="Y43" s="150"/>
      <c r="Z43" s="149"/>
    </row>
    <row r="44" spans="2:26" ht="15.95" customHeight="1" x14ac:dyDescent="0.2">
      <c r="B44" s="79" t="s">
        <v>197</v>
      </c>
      <c r="K44" s="420">
        <f>EKMonatssumme</f>
        <v>0</v>
      </c>
      <c r="L44" s="421"/>
      <c r="M44" s="421"/>
      <c r="N44" s="9" t="s">
        <v>162</v>
      </c>
      <c r="O44" s="86"/>
      <c r="P44" s="87"/>
      <c r="U44" s="88"/>
      <c r="V44" s="89"/>
      <c r="W44" s="89"/>
      <c r="Y44" s="150"/>
      <c r="Z44" s="149"/>
    </row>
    <row r="45" spans="2:26" ht="3.95" customHeight="1" x14ac:dyDescent="0.2">
      <c r="K45" s="144"/>
      <c r="L45" s="194"/>
      <c r="M45" s="194"/>
      <c r="N45" s="24"/>
      <c r="O45" s="86"/>
      <c r="P45" s="87"/>
      <c r="U45" s="88"/>
      <c r="V45" s="89"/>
      <c r="W45" s="89"/>
      <c r="Y45" s="150"/>
      <c r="Z45" s="149"/>
    </row>
    <row r="46" spans="2:26" ht="15.95" customHeight="1" x14ac:dyDescent="0.2">
      <c r="B46" s="79" t="s">
        <v>210</v>
      </c>
      <c r="K46" s="411">
        <f>SUM(K43:M44)</f>
        <v>0</v>
      </c>
      <c r="L46" s="412"/>
      <c r="M46" s="412"/>
      <c r="N46" s="79"/>
      <c r="O46" s="47" t="s">
        <v>164</v>
      </c>
      <c r="P46" s="86">
        <f>EKMonate</f>
        <v>0</v>
      </c>
      <c r="Q46" s="87" t="str">
        <f>"Monat" &amp; IF(EKMonate&gt;1,"e","") &amp; " ="</f>
        <v>Monat =</v>
      </c>
      <c r="U46" s="407">
        <f>IF(EKMonate=0,0,ROUND(EKJahresGesamt/EKMonate,2))</f>
        <v>0</v>
      </c>
      <c r="V46" s="408"/>
      <c r="W46" s="408"/>
      <c r="Y46" s="150"/>
      <c r="Z46" s="149"/>
    </row>
    <row r="47" spans="2:26" ht="15.95" customHeight="1" x14ac:dyDescent="0.2">
      <c r="K47" s="104"/>
      <c r="L47" s="105"/>
      <c r="M47" s="105"/>
      <c r="N47" s="47"/>
      <c r="O47" s="86"/>
      <c r="P47" s="87"/>
      <c r="U47" s="88"/>
      <c r="V47" s="89"/>
      <c r="W47" s="89"/>
      <c r="Y47" s="150"/>
      <c r="Z47" s="149"/>
    </row>
    <row r="48" spans="2:26" ht="15.95" customHeight="1" x14ac:dyDescent="0.2">
      <c r="B48" s="78" t="s">
        <v>105</v>
      </c>
      <c r="Y48" s="150"/>
      <c r="Z48" s="149"/>
    </row>
    <row r="49" spans="2:26" ht="15.95" customHeight="1" x14ac:dyDescent="0.2">
      <c r="Y49" s="150"/>
      <c r="Z49" s="149"/>
    </row>
    <row r="50" spans="2:26" ht="15.95" customHeight="1" x14ac:dyDescent="0.2">
      <c r="B50" s="79" t="s">
        <v>195</v>
      </c>
      <c r="K50" s="79" t="str">
        <f>VLOOKUP(Dropdownfelder!A9,Dropdownfelder!A10:C14,2,FALSE)</f>
        <v>Bitte wählen…</v>
      </c>
      <c r="N50" s="79"/>
      <c r="U50" s="414" t="str">
        <f>VLOOKUP(Dropdownfelder!A9,Dropdownfelder!A10:C14,3,FALSE)</f>
        <v xml:space="preserve"> &lt;&lt;&lt; Auswahl</v>
      </c>
      <c r="V50" s="415"/>
      <c r="W50" s="415"/>
      <c r="Y50" s="150"/>
      <c r="Z50" s="428" t="s">
        <v>334</v>
      </c>
    </row>
    <row r="51" spans="2:26" ht="15.95" customHeight="1" x14ac:dyDescent="0.2">
      <c r="B51" s="79" t="s">
        <v>168</v>
      </c>
      <c r="K51" s="79" t="str">
        <f>VLOOKUP(Dropdownfelder!A17,Dropdownfelder!A18:C22,2,FALSE)</f>
        <v>Bitte wählen…</v>
      </c>
      <c r="N51" s="79"/>
      <c r="U51" s="414" t="str">
        <f>VLOOKUP(Dropdownfelder!A17,Dropdownfelder!A18:C22,3,FALSE)</f>
        <v xml:space="preserve"> &lt;&lt;&lt; Auswahl</v>
      </c>
      <c r="V51" s="415"/>
      <c r="W51" s="415"/>
      <c r="X51" s="85" t="s">
        <v>162</v>
      </c>
      <c r="Y51" s="150"/>
      <c r="Z51" s="428"/>
    </row>
    <row r="52" spans="2:26" ht="15.95" customHeight="1" x14ac:dyDescent="0.2">
      <c r="B52" s="79" t="s">
        <v>201</v>
      </c>
      <c r="K52" s="405" t="s">
        <v>382</v>
      </c>
      <c r="L52" s="406"/>
      <c r="M52" s="406"/>
      <c r="N52" s="406"/>
      <c r="O52" s="406"/>
      <c r="P52" s="406"/>
      <c r="Q52" s="406"/>
      <c r="R52" s="406"/>
      <c r="S52" s="409" t="s">
        <v>106</v>
      </c>
      <c r="T52" s="409"/>
      <c r="U52" s="404">
        <v>0</v>
      </c>
      <c r="V52" s="404"/>
      <c r="W52" s="404"/>
      <c r="X52" s="85" t="s">
        <v>162</v>
      </c>
      <c r="Y52" s="150"/>
      <c r="Z52" s="428"/>
    </row>
    <row r="53" spans="2:26" ht="15.95" customHeight="1" x14ac:dyDescent="0.2">
      <c r="B53" s="79" t="s">
        <v>202</v>
      </c>
      <c r="K53" s="405" t="s">
        <v>382</v>
      </c>
      <c r="L53" s="406"/>
      <c r="M53" s="406"/>
      <c r="N53" s="406"/>
      <c r="O53" s="406"/>
      <c r="P53" s="406"/>
      <c r="Q53" s="406"/>
      <c r="R53" s="406"/>
      <c r="S53" s="409" t="s">
        <v>106</v>
      </c>
      <c r="T53" s="409"/>
      <c r="U53" s="404">
        <v>0</v>
      </c>
      <c r="V53" s="404"/>
      <c r="W53" s="404"/>
      <c r="X53" s="85" t="s">
        <v>162</v>
      </c>
      <c r="Y53" s="150"/>
      <c r="Z53" s="428"/>
    </row>
    <row r="54" spans="2:26" ht="15.95" customHeight="1" x14ac:dyDescent="0.2">
      <c r="B54" s="79" t="s">
        <v>203</v>
      </c>
      <c r="K54" s="405" t="s">
        <v>382</v>
      </c>
      <c r="L54" s="406"/>
      <c r="M54" s="406"/>
      <c r="N54" s="406"/>
      <c r="O54" s="406"/>
      <c r="P54" s="406"/>
      <c r="Q54" s="406"/>
      <c r="R54" s="406"/>
      <c r="S54" s="409" t="s">
        <v>106</v>
      </c>
      <c r="T54" s="409"/>
      <c r="U54" s="404">
        <v>0</v>
      </c>
      <c r="V54" s="404"/>
      <c r="W54" s="404"/>
      <c r="X54" s="85" t="s">
        <v>162</v>
      </c>
      <c r="Y54" s="150"/>
      <c r="Z54" s="428"/>
    </row>
    <row r="55" spans="2:26" ht="15.95" customHeight="1" x14ac:dyDescent="0.2">
      <c r="B55" s="79" t="s">
        <v>200</v>
      </c>
      <c r="K55" s="405" t="s">
        <v>382</v>
      </c>
      <c r="L55" s="406"/>
      <c r="M55" s="406"/>
      <c r="N55" s="406"/>
      <c r="O55" s="406"/>
      <c r="P55" s="406"/>
      <c r="Q55" s="406"/>
      <c r="R55" s="406"/>
      <c r="S55" s="409" t="s">
        <v>106</v>
      </c>
      <c r="T55" s="409"/>
      <c r="U55" s="404">
        <v>0</v>
      </c>
      <c r="V55" s="404"/>
      <c r="W55" s="404"/>
      <c r="X55" s="85" t="s">
        <v>162</v>
      </c>
      <c r="Y55" s="150"/>
      <c r="Z55" s="428"/>
    </row>
    <row r="56" spans="2:26" ht="15.95" customHeight="1" x14ac:dyDescent="0.2">
      <c r="B56" s="79" t="s">
        <v>200</v>
      </c>
      <c r="K56" s="405" t="s">
        <v>382</v>
      </c>
      <c r="L56" s="406"/>
      <c r="M56" s="406"/>
      <c r="N56" s="406"/>
      <c r="O56" s="406"/>
      <c r="P56" s="406"/>
      <c r="Q56" s="406"/>
      <c r="R56" s="406"/>
      <c r="S56" s="409" t="s">
        <v>106</v>
      </c>
      <c r="T56" s="409"/>
      <c r="U56" s="410">
        <v>0</v>
      </c>
      <c r="V56" s="410"/>
      <c r="W56" s="410"/>
      <c r="X56" s="91" t="s">
        <v>162</v>
      </c>
      <c r="Y56" s="150"/>
      <c r="Z56" s="428"/>
    </row>
    <row r="57" spans="2:26" s="90" customFormat="1" ht="15.95" customHeight="1" x14ac:dyDescent="0.2">
      <c r="K57" s="92"/>
      <c r="L57" s="92"/>
      <c r="M57" s="92"/>
      <c r="N57" s="92"/>
      <c r="O57" s="92"/>
      <c r="P57" s="92"/>
      <c r="Q57" s="92"/>
      <c r="R57" s="92"/>
      <c r="U57" s="81"/>
      <c r="V57" s="81"/>
      <c r="W57" s="81"/>
      <c r="X57" s="84"/>
      <c r="Y57" s="150"/>
      <c r="Z57" s="149"/>
    </row>
    <row r="58" spans="2:26" ht="15.95" customHeight="1" x14ac:dyDescent="0.2">
      <c r="B58" s="78" t="s">
        <v>205</v>
      </c>
      <c r="C58" s="78"/>
      <c r="D58" s="78"/>
      <c r="E58" s="78"/>
      <c r="F58" s="78"/>
      <c r="G58" s="78"/>
      <c r="H58" s="78"/>
      <c r="I58" s="78"/>
      <c r="J58" s="78"/>
      <c r="K58" s="78"/>
      <c r="L58" s="78"/>
      <c r="M58" s="78"/>
      <c r="N58" s="93"/>
      <c r="O58" s="78"/>
      <c r="P58" s="78"/>
      <c r="Q58" s="78"/>
      <c r="R58" s="78"/>
      <c r="S58" s="78"/>
      <c r="T58" s="78"/>
      <c r="U58" s="407">
        <f>SUM(U46:W56)</f>
        <v>0</v>
      </c>
      <c r="V58" s="408"/>
      <c r="W58" s="408"/>
      <c r="Y58" s="150"/>
      <c r="Z58" s="149"/>
    </row>
    <row r="59" spans="2:26" ht="15.95" customHeight="1" x14ac:dyDescent="0.2">
      <c r="B59" s="94"/>
      <c r="C59" s="78"/>
      <c r="D59" s="78"/>
      <c r="E59" s="78"/>
      <c r="F59" s="78"/>
      <c r="G59" s="78"/>
      <c r="H59" s="78"/>
      <c r="I59" s="78"/>
      <c r="J59" s="78"/>
      <c r="K59" s="78"/>
      <c r="L59" s="78"/>
      <c r="M59" s="78"/>
      <c r="N59" s="93"/>
      <c r="O59" s="78"/>
      <c r="P59" s="78"/>
      <c r="Q59" s="78"/>
      <c r="R59" s="78"/>
      <c r="S59" s="78"/>
      <c r="T59" s="78"/>
      <c r="U59" s="88"/>
      <c r="V59" s="89"/>
      <c r="W59" s="89"/>
      <c r="Y59" s="150"/>
      <c r="Z59" s="149"/>
    </row>
    <row r="60" spans="2:26" ht="15.95" customHeight="1" x14ac:dyDescent="0.2">
      <c r="B60" s="78" t="s">
        <v>209</v>
      </c>
      <c r="C60" s="78"/>
      <c r="D60" s="78"/>
      <c r="E60" s="78"/>
      <c r="F60" s="78"/>
      <c r="G60" s="78"/>
      <c r="H60" s="78"/>
      <c r="I60" s="78"/>
      <c r="J60" s="78"/>
      <c r="K60" s="78"/>
      <c r="L60" s="78"/>
      <c r="M60" s="78"/>
      <c r="N60" s="93"/>
      <c r="O60" s="78"/>
      <c r="P60" s="78"/>
      <c r="Q60" s="78"/>
      <c r="R60" s="78"/>
      <c r="S60" s="78"/>
      <c r="T60" s="78"/>
      <c r="U60" s="407">
        <f>U58</f>
        <v>0</v>
      </c>
      <c r="V60" s="408"/>
      <c r="W60" s="408"/>
      <c r="Y60" s="150"/>
      <c r="Z60" s="310" t="s">
        <v>277</v>
      </c>
    </row>
    <row r="61" spans="2:26" ht="6" customHeight="1" x14ac:dyDescent="0.2">
      <c r="Y61" s="150"/>
      <c r="Z61" s="149"/>
    </row>
    <row r="62" spans="2:26" ht="15.95" customHeight="1" x14ac:dyDescent="0.2">
      <c r="B62" s="64" t="s">
        <v>211</v>
      </c>
      <c r="Y62" s="150"/>
      <c r="Z62" s="149"/>
    </row>
    <row r="63" spans="2:26" ht="15.95" customHeight="1" x14ac:dyDescent="0.2">
      <c r="B63" s="418" t="s">
        <v>169</v>
      </c>
      <c r="C63" s="418"/>
      <c r="D63" s="418"/>
      <c r="E63" s="418"/>
      <c r="F63" s="418"/>
      <c r="G63" s="418"/>
      <c r="H63" s="418"/>
      <c r="I63" s="418"/>
      <c r="J63" s="418"/>
      <c r="K63" s="418"/>
      <c r="L63" s="418"/>
      <c r="M63" s="418"/>
      <c r="N63" s="418"/>
      <c r="O63" s="418"/>
      <c r="P63" s="418"/>
      <c r="S63" s="409" t="s">
        <v>106</v>
      </c>
      <c r="T63" s="409"/>
      <c r="U63" s="404">
        <v>0</v>
      </c>
      <c r="V63" s="404"/>
      <c r="W63" s="404"/>
      <c r="X63" s="85" t="s">
        <v>163</v>
      </c>
      <c r="Y63" s="150"/>
      <c r="Z63" s="428" t="s">
        <v>225</v>
      </c>
    </row>
    <row r="64" spans="2:26" ht="15.95" customHeight="1" x14ac:dyDescent="0.2">
      <c r="B64" s="418" t="s">
        <v>170</v>
      </c>
      <c r="C64" s="418"/>
      <c r="D64" s="418"/>
      <c r="E64" s="418"/>
      <c r="F64" s="418"/>
      <c r="G64" s="418"/>
      <c r="H64" s="418"/>
      <c r="I64" s="418"/>
      <c r="J64" s="418"/>
      <c r="K64" s="418"/>
      <c r="L64" s="418"/>
      <c r="M64" s="418"/>
      <c r="N64" s="418"/>
      <c r="O64" s="418"/>
      <c r="P64" s="418"/>
      <c r="S64" s="409" t="s">
        <v>106</v>
      </c>
      <c r="T64" s="409"/>
      <c r="U64" s="404">
        <v>0</v>
      </c>
      <c r="V64" s="404"/>
      <c r="W64" s="404"/>
      <c r="X64" s="85" t="s">
        <v>163</v>
      </c>
      <c r="Y64" s="150"/>
      <c r="Z64" s="428"/>
    </row>
    <row r="65" spans="2:26" ht="15.95" customHeight="1" x14ac:dyDescent="0.2">
      <c r="B65" s="418" t="s">
        <v>171</v>
      </c>
      <c r="C65" s="418"/>
      <c r="D65" s="418"/>
      <c r="E65" s="418"/>
      <c r="F65" s="418"/>
      <c r="G65" s="418"/>
      <c r="H65" s="418"/>
      <c r="I65" s="418"/>
      <c r="J65" s="418"/>
      <c r="K65" s="418"/>
      <c r="L65" s="418"/>
      <c r="M65" s="418"/>
      <c r="N65" s="418"/>
      <c r="O65" s="418"/>
      <c r="P65" s="418"/>
      <c r="S65" s="409" t="s">
        <v>106</v>
      </c>
      <c r="T65" s="409"/>
      <c r="U65" s="404">
        <v>0</v>
      </c>
      <c r="V65" s="404"/>
      <c r="W65" s="404"/>
      <c r="X65" s="85" t="s">
        <v>163</v>
      </c>
      <c r="Y65" s="150"/>
      <c r="Z65" s="428"/>
    </row>
    <row r="66" spans="2:26" ht="15.95" customHeight="1" x14ac:dyDescent="0.2">
      <c r="B66" s="418" t="s">
        <v>172</v>
      </c>
      <c r="C66" s="418"/>
      <c r="D66" s="418"/>
      <c r="E66" s="418"/>
      <c r="F66" s="418"/>
      <c r="G66" s="418"/>
      <c r="H66" s="418"/>
      <c r="I66" s="418"/>
      <c r="J66" s="418"/>
      <c r="K66" s="418"/>
      <c r="L66" s="418"/>
      <c r="M66" s="418"/>
      <c r="N66" s="418"/>
      <c r="O66" s="418"/>
      <c r="P66" s="418"/>
      <c r="S66" s="409" t="s">
        <v>106</v>
      </c>
      <c r="T66" s="409"/>
      <c r="U66" s="404">
        <v>0</v>
      </c>
      <c r="V66" s="404"/>
      <c r="W66" s="404"/>
      <c r="X66" s="85" t="s">
        <v>163</v>
      </c>
      <c r="Y66" s="150"/>
      <c r="Z66" s="428"/>
    </row>
    <row r="67" spans="2:26" ht="15.95" customHeight="1" x14ac:dyDescent="0.2">
      <c r="B67" s="418" t="s">
        <v>173</v>
      </c>
      <c r="C67" s="418"/>
      <c r="D67" s="418"/>
      <c r="E67" s="418"/>
      <c r="F67" s="418"/>
      <c r="G67" s="418"/>
      <c r="H67" s="418"/>
      <c r="I67" s="418"/>
      <c r="J67" s="418"/>
      <c r="K67" s="418"/>
      <c r="L67" s="418"/>
      <c r="M67" s="418"/>
      <c r="N67" s="418"/>
      <c r="O67" s="418"/>
      <c r="P67" s="418"/>
      <c r="S67" s="409" t="s">
        <v>106</v>
      </c>
      <c r="T67" s="409"/>
      <c r="U67" s="410">
        <v>0</v>
      </c>
      <c r="V67" s="410"/>
      <c r="W67" s="410"/>
      <c r="X67" s="91" t="s">
        <v>163</v>
      </c>
      <c r="Y67" s="150"/>
      <c r="Z67" s="428"/>
    </row>
    <row r="68" spans="2:26" s="90" customFormat="1" ht="6" customHeight="1" x14ac:dyDescent="0.2">
      <c r="K68" s="92"/>
      <c r="L68" s="92"/>
      <c r="M68" s="92"/>
      <c r="N68" s="92"/>
      <c r="O68" s="92"/>
      <c r="P68" s="92"/>
      <c r="Q68" s="92"/>
      <c r="R68" s="92"/>
      <c r="U68" s="81"/>
      <c r="V68" s="81"/>
      <c r="W68" s="81"/>
      <c r="X68" s="84"/>
      <c r="Y68" s="150"/>
      <c r="Z68" s="149"/>
    </row>
    <row r="69" spans="2:26" s="78" customFormat="1" ht="15.95" customHeight="1" x14ac:dyDescent="0.2">
      <c r="B69" s="78" t="s">
        <v>204</v>
      </c>
      <c r="N69" s="93"/>
      <c r="U69" s="407">
        <f>IF(U58-SUM(U63:W67)&lt;0,0,U58-SUM(U63:W67))</f>
        <v>0</v>
      </c>
      <c r="V69" s="408"/>
      <c r="W69" s="408"/>
      <c r="X69" s="93"/>
      <c r="Y69" s="153"/>
      <c r="Z69" s="154"/>
    </row>
    <row r="70" spans="2:26" ht="15.95" customHeight="1" x14ac:dyDescent="0.2">
      <c r="B70" s="78"/>
      <c r="C70" s="78"/>
      <c r="D70" s="78"/>
      <c r="E70" s="78"/>
      <c r="F70" s="78"/>
      <c r="G70" s="78"/>
      <c r="H70" s="78"/>
      <c r="I70" s="78"/>
      <c r="J70" s="78"/>
      <c r="K70" s="78"/>
      <c r="L70" s="78"/>
      <c r="M70" s="78"/>
      <c r="N70" s="93"/>
      <c r="O70" s="78"/>
      <c r="P70" s="78"/>
      <c r="Q70" s="78"/>
      <c r="R70" s="78"/>
      <c r="S70" s="78"/>
      <c r="T70" s="78"/>
      <c r="U70" s="88"/>
      <c r="V70" s="89"/>
      <c r="W70" s="89"/>
      <c r="Y70" s="150"/>
      <c r="Z70" s="149"/>
    </row>
    <row r="71" spans="2:26" s="68" customFormat="1" ht="20.100000000000001" customHeight="1" x14ac:dyDescent="0.2">
      <c r="B71" s="65" t="s">
        <v>208</v>
      </c>
      <c r="C71" s="66"/>
      <c r="D71" s="66"/>
      <c r="E71" s="66"/>
      <c r="F71" s="66"/>
      <c r="G71" s="66"/>
      <c r="H71" s="66"/>
      <c r="I71" s="66"/>
      <c r="J71" s="66"/>
      <c r="K71" s="66"/>
      <c r="L71" s="66"/>
      <c r="M71" s="66"/>
      <c r="N71" s="67"/>
      <c r="O71" s="66"/>
      <c r="P71" s="66"/>
      <c r="Q71" s="66"/>
      <c r="R71" s="66"/>
      <c r="S71" s="66"/>
      <c r="T71" s="66"/>
      <c r="U71" s="66"/>
      <c r="V71" s="66"/>
      <c r="W71" s="66"/>
      <c r="X71" s="67"/>
      <c r="Y71" s="150"/>
      <c r="Z71" s="149"/>
    </row>
    <row r="72" spans="2:26" ht="6" customHeight="1" x14ac:dyDescent="0.2">
      <c r="Y72" s="150"/>
      <c r="Z72" s="149"/>
    </row>
    <row r="73" spans="2:26" ht="15.95" customHeight="1" x14ac:dyDescent="0.2">
      <c r="B73" s="78" t="s">
        <v>212</v>
      </c>
      <c r="Y73" s="150"/>
      <c r="Z73" s="149"/>
    </row>
    <row r="74" spans="2:26" ht="6" customHeight="1" x14ac:dyDescent="0.2">
      <c r="B74" s="78"/>
      <c r="Y74" s="150"/>
      <c r="Z74" s="149"/>
    </row>
    <row r="75" spans="2:26" ht="15.95" customHeight="1" x14ac:dyDescent="0.2">
      <c r="B75" s="7" t="s">
        <v>174</v>
      </c>
      <c r="C75" s="7"/>
      <c r="D75" s="7"/>
      <c r="E75" s="7"/>
      <c r="F75" s="7"/>
      <c r="G75" s="7"/>
      <c r="H75" s="419">
        <f>U69</f>
        <v>0</v>
      </c>
      <c r="I75" s="419"/>
      <c r="J75" s="419"/>
      <c r="K75" s="8" t="s">
        <v>175</v>
      </c>
      <c r="L75" s="79" t="s">
        <v>106</v>
      </c>
      <c r="M75" s="433">
        <f>25%*U69</f>
        <v>0</v>
      </c>
      <c r="N75" s="433"/>
      <c r="O75" s="433"/>
      <c r="P75" s="7"/>
      <c r="Q75" s="7"/>
      <c r="Y75" s="150"/>
      <c r="Z75" s="149"/>
    </row>
    <row r="76" spans="2:26" ht="6" customHeight="1" x14ac:dyDescent="0.2">
      <c r="B76" s="7"/>
      <c r="C76" s="7"/>
      <c r="D76" s="7"/>
      <c r="E76" s="7"/>
      <c r="F76" s="7"/>
      <c r="G76" s="7"/>
      <c r="H76" s="7"/>
      <c r="I76" s="7"/>
      <c r="J76" s="7"/>
      <c r="K76" s="7"/>
      <c r="L76" s="7"/>
      <c r="M76" s="7"/>
      <c r="N76" s="7"/>
      <c r="O76" s="7"/>
      <c r="P76" s="7"/>
      <c r="Q76" s="7"/>
      <c r="Y76" s="150"/>
      <c r="Z76" s="149"/>
    </row>
    <row r="77" spans="2:26" ht="15.95" customHeight="1" x14ac:dyDescent="0.2">
      <c r="B77" s="7" t="s">
        <v>223</v>
      </c>
      <c r="C77" s="7"/>
      <c r="D77" s="7"/>
      <c r="E77" s="7"/>
      <c r="F77" s="7"/>
      <c r="G77" s="7"/>
      <c r="H77" s="7"/>
      <c r="I77" s="7"/>
      <c r="J77" s="7"/>
      <c r="K77" s="7"/>
      <c r="L77" s="7"/>
      <c r="M77" s="7"/>
      <c r="N77" s="7"/>
      <c r="O77" s="7"/>
      <c r="P77" s="7"/>
      <c r="Q77" s="7"/>
      <c r="Y77" s="150"/>
      <c r="Z77" s="428" t="s">
        <v>227</v>
      </c>
    </row>
    <row r="78" spans="2:26" ht="6" customHeight="1" x14ac:dyDescent="0.2">
      <c r="B78" s="7"/>
      <c r="C78" s="7"/>
      <c r="D78" s="7"/>
      <c r="E78" s="7"/>
      <c r="F78" s="7"/>
      <c r="G78" s="7"/>
      <c r="H78" s="7"/>
      <c r="I78" s="7"/>
      <c r="J78" s="7"/>
      <c r="K78" s="7"/>
      <c r="L78" s="7"/>
      <c r="M78" s="7"/>
      <c r="N78" s="7"/>
      <c r="O78" s="7"/>
      <c r="P78" s="7"/>
      <c r="Q78" s="7"/>
      <c r="Y78" s="150"/>
      <c r="Z78" s="428"/>
    </row>
    <row r="79" spans="2:26" ht="15.95" customHeight="1" x14ac:dyDescent="0.2">
      <c r="B79" s="7" t="s">
        <v>176</v>
      </c>
      <c r="C79" s="7"/>
      <c r="D79" s="7"/>
      <c r="E79" s="7"/>
      <c r="F79" s="7"/>
      <c r="G79" s="7"/>
      <c r="H79" s="7"/>
      <c r="I79" s="102">
        <v>0</v>
      </c>
      <c r="J79" s="7" t="s">
        <v>177</v>
      </c>
      <c r="K79" s="8" t="s">
        <v>193</v>
      </c>
      <c r="L79" s="108">
        <v>0</v>
      </c>
      <c r="M79" s="7" t="str">
        <f>"Arbeitstagen in " &amp; EKMonate &amp; " Monaten"</f>
        <v>Arbeitstagen in 0 Monaten</v>
      </c>
      <c r="N79" s="7"/>
      <c r="O79" s="7"/>
      <c r="P79" s="7"/>
      <c r="Q79" s="7"/>
      <c r="Y79" s="150"/>
      <c r="Z79" s="427" t="s">
        <v>243</v>
      </c>
    </row>
    <row r="80" spans="2:26" ht="15.95" customHeight="1" x14ac:dyDescent="0.2">
      <c r="B80" s="21" t="str">
        <f>"(" &amp; EntfernungArbeit &amp; " km x " &amp; KM_Pauschale &amp; " € KM-Pauschale x " &amp; Arbeitstage &amp;" Tage / " &amp; EKMonate &amp; " Monate)"</f>
        <v>(0 km x 0,3 € KM-Pauschale x 0 Tage / 0 Monate)</v>
      </c>
      <c r="C80" s="21"/>
      <c r="D80" s="21"/>
      <c r="E80" s="22"/>
      <c r="F80" s="21"/>
      <c r="G80" s="21"/>
      <c r="H80" s="21"/>
      <c r="I80" s="21"/>
      <c r="J80" s="21"/>
      <c r="K80" s="21"/>
      <c r="L80" s="21"/>
      <c r="M80" s="434">
        <f>IF(EntfernungArbeit=0,0,EntfernungArbeit*KBParameter!C50*Arbeitstage/EKMonate)</f>
        <v>0</v>
      </c>
      <c r="N80" s="434"/>
      <c r="O80" s="434"/>
      <c r="P80" s="8"/>
      <c r="Q80" s="7"/>
      <c r="R80" s="7"/>
      <c r="X80" s="79"/>
      <c r="Y80" s="155"/>
      <c r="Z80" s="428"/>
    </row>
    <row r="81" spans="2:26" ht="15.95" customHeight="1" x14ac:dyDescent="0.2">
      <c r="B81" s="417" t="s">
        <v>213</v>
      </c>
      <c r="C81" s="417"/>
      <c r="D81" s="417"/>
      <c r="E81" s="417"/>
      <c r="F81" s="417"/>
      <c r="G81" s="417"/>
      <c r="H81" s="417"/>
      <c r="I81" s="417"/>
      <c r="J81" s="417"/>
      <c r="K81" s="417"/>
      <c r="L81" s="7"/>
      <c r="M81" s="404">
        <v>0</v>
      </c>
      <c r="N81" s="404"/>
      <c r="O81" s="404"/>
      <c r="P81" s="8" t="s">
        <v>162</v>
      </c>
      <c r="Q81" s="7"/>
      <c r="R81" s="7"/>
      <c r="X81" s="79"/>
      <c r="Y81" s="155"/>
      <c r="Z81" s="428"/>
    </row>
    <row r="82" spans="2:26" ht="15.95" customHeight="1" x14ac:dyDescent="0.2">
      <c r="B82" s="417" t="s">
        <v>191</v>
      </c>
      <c r="C82" s="417"/>
      <c r="D82" s="417"/>
      <c r="E82" s="417"/>
      <c r="F82" s="417"/>
      <c r="G82" s="417"/>
      <c r="H82" s="417"/>
      <c r="I82" s="417"/>
      <c r="J82" s="417"/>
      <c r="K82" s="417"/>
      <c r="L82" s="7"/>
      <c r="M82" s="404">
        <v>0</v>
      </c>
      <c r="N82" s="404"/>
      <c r="O82" s="404"/>
      <c r="P82" s="8" t="s">
        <v>162</v>
      </c>
      <c r="Q82" s="7"/>
      <c r="R82" s="7"/>
      <c r="X82" s="79"/>
      <c r="Y82" s="155"/>
      <c r="Z82" s="428"/>
    </row>
    <row r="83" spans="2:26" ht="15.95" customHeight="1" x14ac:dyDescent="0.2">
      <c r="B83" s="417" t="s">
        <v>214</v>
      </c>
      <c r="C83" s="417"/>
      <c r="D83" s="417"/>
      <c r="E83" s="417"/>
      <c r="F83" s="417"/>
      <c r="G83" s="417"/>
      <c r="H83" s="417"/>
      <c r="I83" s="417"/>
      <c r="J83" s="417"/>
      <c r="K83" s="417"/>
      <c r="L83" s="23"/>
      <c r="M83" s="404">
        <v>0</v>
      </c>
      <c r="N83" s="404"/>
      <c r="O83" s="404"/>
      <c r="P83" s="24" t="s">
        <v>162</v>
      </c>
      <c r="Q83" s="7"/>
      <c r="R83" s="7"/>
      <c r="X83" s="79"/>
      <c r="Y83" s="155"/>
      <c r="Z83" s="428"/>
    </row>
    <row r="84" spans="2:26" ht="15.95" customHeight="1" x14ac:dyDescent="0.2">
      <c r="B84" s="417" t="s">
        <v>215</v>
      </c>
      <c r="C84" s="417"/>
      <c r="D84" s="417"/>
      <c r="E84" s="417"/>
      <c r="F84" s="417"/>
      <c r="G84" s="417"/>
      <c r="H84" s="417"/>
      <c r="I84" s="417"/>
      <c r="J84" s="417"/>
      <c r="K84" s="417"/>
      <c r="L84" s="23"/>
      <c r="M84" s="404">
        <v>0</v>
      </c>
      <c r="N84" s="404"/>
      <c r="O84" s="404"/>
      <c r="P84" s="24" t="s">
        <v>162</v>
      </c>
      <c r="Q84" s="7"/>
      <c r="R84" s="7"/>
      <c r="X84" s="79"/>
      <c r="Y84" s="155"/>
      <c r="Z84" s="428"/>
    </row>
    <row r="85" spans="2:26" ht="15.95" customHeight="1" x14ac:dyDescent="0.2">
      <c r="B85" s="417" t="s">
        <v>215</v>
      </c>
      <c r="C85" s="417"/>
      <c r="D85" s="417"/>
      <c r="E85" s="417"/>
      <c r="F85" s="417"/>
      <c r="G85" s="417"/>
      <c r="H85" s="417"/>
      <c r="I85" s="417"/>
      <c r="J85" s="417"/>
      <c r="K85" s="417"/>
      <c r="L85" s="23"/>
      <c r="M85" s="404">
        <v>0</v>
      </c>
      <c r="N85" s="404"/>
      <c r="O85" s="404"/>
      <c r="P85" s="24" t="s">
        <v>162</v>
      </c>
      <c r="Q85" s="7"/>
      <c r="R85" s="7"/>
      <c r="X85" s="79"/>
      <c r="Y85" s="155"/>
      <c r="Z85" s="428"/>
    </row>
    <row r="86" spans="2:26" ht="15.95" customHeight="1" x14ac:dyDescent="0.2">
      <c r="B86" s="417" t="s">
        <v>215</v>
      </c>
      <c r="C86" s="417"/>
      <c r="D86" s="417"/>
      <c r="E86" s="417"/>
      <c r="F86" s="417"/>
      <c r="G86" s="417"/>
      <c r="H86" s="417"/>
      <c r="I86" s="417"/>
      <c r="J86" s="417"/>
      <c r="K86" s="417"/>
      <c r="L86" s="23"/>
      <c r="M86" s="404">
        <v>0</v>
      </c>
      <c r="N86" s="404"/>
      <c r="O86" s="404"/>
      <c r="P86" s="24" t="s">
        <v>162</v>
      </c>
      <c r="Q86" s="7"/>
      <c r="R86" s="7"/>
      <c r="X86" s="79"/>
      <c r="Y86" s="155"/>
      <c r="Z86" s="428"/>
    </row>
    <row r="87" spans="2:26" ht="15.95" customHeight="1" x14ac:dyDescent="0.2">
      <c r="B87" s="417" t="s">
        <v>215</v>
      </c>
      <c r="C87" s="417"/>
      <c r="D87" s="417"/>
      <c r="E87" s="417"/>
      <c r="F87" s="417"/>
      <c r="G87" s="417"/>
      <c r="H87" s="417"/>
      <c r="I87" s="417"/>
      <c r="J87" s="417"/>
      <c r="K87" s="417"/>
      <c r="L87" s="23"/>
      <c r="M87" s="410">
        <v>0</v>
      </c>
      <c r="N87" s="410"/>
      <c r="O87" s="410"/>
      <c r="P87" s="9" t="s">
        <v>162</v>
      </c>
      <c r="Q87" s="7"/>
      <c r="R87" s="7"/>
      <c r="X87" s="79"/>
      <c r="Y87" s="155"/>
      <c r="Z87" s="428"/>
    </row>
    <row r="88" spans="2:26" ht="3.95" customHeight="1" x14ac:dyDescent="0.2">
      <c r="B88" s="344"/>
      <c r="C88" s="344"/>
      <c r="D88" s="344"/>
      <c r="E88" s="344"/>
      <c r="F88" s="344"/>
      <c r="G88" s="344"/>
      <c r="H88" s="344"/>
      <c r="I88" s="344"/>
      <c r="J88" s="344"/>
      <c r="K88" s="344"/>
      <c r="L88" s="23"/>
      <c r="M88" s="81"/>
      <c r="N88" s="81"/>
      <c r="O88" s="81"/>
      <c r="P88" s="24"/>
      <c r="Q88" s="7"/>
      <c r="R88" s="7"/>
      <c r="X88" s="79"/>
      <c r="Y88" s="155"/>
      <c r="Z88" s="149"/>
    </row>
    <row r="89" spans="2:26" ht="15.95" customHeight="1" x14ac:dyDescent="0.2">
      <c r="B89" s="45" t="s">
        <v>178</v>
      </c>
      <c r="C89" s="45"/>
      <c r="D89" s="45"/>
      <c r="E89" s="45"/>
      <c r="F89" s="45"/>
      <c r="G89" s="45"/>
      <c r="H89" s="45"/>
      <c r="I89" s="45"/>
      <c r="J89" s="45"/>
      <c r="K89" s="45"/>
      <c r="L89" s="46"/>
      <c r="M89" s="422">
        <f>SUM(M80:O87)</f>
        <v>0</v>
      </c>
      <c r="N89" s="422"/>
      <c r="O89" s="422"/>
      <c r="P89" s="23"/>
      <c r="Q89" s="7"/>
      <c r="R89" s="7"/>
      <c r="X89" s="79"/>
      <c r="Y89" s="155"/>
      <c r="Z89" s="428" t="s">
        <v>226</v>
      </c>
    </row>
    <row r="90" spans="2:26" ht="3.95" customHeight="1" x14ac:dyDescent="0.2">
      <c r="B90" s="7"/>
      <c r="C90" s="7"/>
      <c r="D90" s="7"/>
      <c r="E90" s="7"/>
      <c r="F90" s="7"/>
      <c r="G90" s="7"/>
      <c r="H90" s="7"/>
      <c r="I90" s="7"/>
      <c r="J90" s="7"/>
      <c r="K90" s="7"/>
      <c r="L90" s="7"/>
      <c r="M90" s="7"/>
      <c r="N90" s="7"/>
      <c r="O90" s="7"/>
      <c r="P90" s="7"/>
      <c r="Q90" s="7"/>
      <c r="Y90" s="150"/>
      <c r="Z90" s="428"/>
    </row>
    <row r="91" spans="2:26" ht="15.95" customHeight="1" x14ac:dyDescent="0.2">
      <c r="B91" s="7" t="str">
        <f>"Anzuerkennen ist der höhere Betrag, mithin hier die " &amp; IF(M75&gt;M89,"25%-Pauschale:","nachgewiesenen Kosten:")</f>
        <v>Anzuerkennen ist der höhere Betrag, mithin hier die nachgewiesenen Kosten:</v>
      </c>
      <c r="C91" s="7"/>
      <c r="D91" s="7"/>
      <c r="E91" s="7"/>
      <c r="F91" s="7"/>
      <c r="G91" s="7"/>
      <c r="H91" s="7"/>
      <c r="I91" s="7"/>
      <c r="J91" s="7"/>
      <c r="K91" s="7"/>
      <c r="L91" s="7"/>
      <c r="M91" s="7"/>
      <c r="N91" s="7"/>
      <c r="O91" s="7"/>
      <c r="U91" s="432">
        <f>IF(M75&gt;M89,M75,M89)</f>
        <v>0</v>
      </c>
      <c r="V91" s="432"/>
      <c r="W91" s="432"/>
      <c r="X91" s="84" t="s">
        <v>163</v>
      </c>
      <c r="Y91" s="150"/>
      <c r="Z91" s="428"/>
    </row>
    <row r="92" spans="2:26" ht="15.95" customHeight="1" x14ac:dyDescent="0.2">
      <c r="B92" s="78"/>
      <c r="C92" s="78"/>
      <c r="D92" s="78"/>
      <c r="E92" s="78"/>
      <c r="F92" s="78"/>
      <c r="G92" s="78"/>
      <c r="H92" s="78"/>
      <c r="I92" s="78"/>
      <c r="J92" s="78"/>
      <c r="K92" s="78"/>
      <c r="L92" s="78"/>
      <c r="M92" s="78"/>
      <c r="N92" s="93"/>
      <c r="O92" s="78"/>
      <c r="P92" s="78"/>
      <c r="Q92" s="78"/>
      <c r="R92" s="78"/>
      <c r="S92" s="78"/>
      <c r="T92" s="78"/>
      <c r="U92" s="88"/>
      <c r="V92" s="89"/>
      <c r="W92" s="89"/>
      <c r="Y92" s="150"/>
      <c r="Z92" s="428"/>
    </row>
    <row r="93" spans="2:26" s="68" customFormat="1" ht="20.100000000000001" customHeight="1" x14ac:dyDescent="0.2">
      <c r="B93" s="65" t="s">
        <v>322</v>
      </c>
      <c r="C93" s="66"/>
      <c r="D93" s="66"/>
      <c r="E93" s="66"/>
      <c r="F93" s="66"/>
      <c r="G93" s="66"/>
      <c r="H93" s="66"/>
      <c r="I93" s="66"/>
      <c r="J93" s="66"/>
      <c r="K93" s="66"/>
      <c r="L93" s="66"/>
      <c r="M93" s="66"/>
      <c r="N93" s="67"/>
      <c r="O93" s="66"/>
      <c r="P93" s="66"/>
      <c r="Q93" s="66"/>
      <c r="R93" s="66"/>
      <c r="S93" s="66"/>
      <c r="T93" s="66"/>
      <c r="U93" s="66"/>
      <c r="V93" s="66"/>
      <c r="W93" s="66"/>
      <c r="X93" s="67"/>
      <c r="Y93" s="150"/>
      <c r="Z93" s="149"/>
    </row>
    <row r="94" spans="2:26" ht="6" customHeight="1" x14ac:dyDescent="0.2">
      <c r="Y94" s="150"/>
      <c r="Z94" s="149"/>
    </row>
    <row r="95" spans="2:26" s="90" customFormat="1" ht="15.95" customHeight="1" x14ac:dyDescent="0.2">
      <c r="B95" s="90" t="s">
        <v>335</v>
      </c>
      <c r="U95" s="423">
        <f>'Einkommen selbst. Tätigkeit'!G56</f>
        <v>0</v>
      </c>
      <c r="V95" s="423"/>
      <c r="W95" s="423"/>
      <c r="X95" s="91" t="s">
        <v>162</v>
      </c>
      <c r="Y95" s="150"/>
      <c r="Z95" s="350" t="s">
        <v>352</v>
      </c>
    </row>
    <row r="96" spans="2:26" s="90" customFormat="1" ht="3.95" customHeight="1" x14ac:dyDescent="0.2">
      <c r="K96" s="92"/>
      <c r="L96" s="92"/>
      <c r="M96" s="92"/>
      <c r="N96" s="92"/>
      <c r="O96" s="92"/>
      <c r="P96" s="92"/>
      <c r="Q96" s="92"/>
      <c r="R96" s="92"/>
      <c r="U96" s="81"/>
      <c r="V96" s="81"/>
      <c r="W96" s="81"/>
      <c r="X96" s="84"/>
      <c r="Y96" s="150"/>
      <c r="Z96" s="149"/>
    </row>
    <row r="97" spans="2:26" ht="15.95" customHeight="1" x14ac:dyDescent="0.2">
      <c r="B97" s="78" t="s">
        <v>104</v>
      </c>
      <c r="U97" s="407">
        <f>U69-U91+U95</f>
        <v>0</v>
      </c>
      <c r="V97" s="408"/>
      <c r="W97" s="408"/>
      <c r="Y97" s="150"/>
      <c r="Z97" s="428" t="s">
        <v>228</v>
      </c>
    </row>
    <row r="98" spans="2:26" ht="15.95" customHeight="1" x14ac:dyDescent="0.2">
      <c r="Y98" s="150"/>
      <c r="Z98" s="428"/>
    </row>
    <row r="99" spans="2:26" s="68" customFormat="1" ht="20.100000000000001" customHeight="1" x14ac:dyDescent="0.2">
      <c r="B99" s="95" t="s">
        <v>218</v>
      </c>
      <c r="C99" s="66"/>
      <c r="D99" s="66"/>
      <c r="E99" s="66"/>
      <c r="F99" s="66"/>
      <c r="G99" s="66"/>
      <c r="H99" s="66"/>
      <c r="I99" s="66"/>
      <c r="J99" s="66"/>
      <c r="K99" s="66"/>
      <c r="L99" s="66"/>
      <c r="M99" s="66"/>
      <c r="N99" s="67"/>
      <c r="O99" s="66"/>
      <c r="P99" s="66"/>
      <c r="Q99" s="66"/>
      <c r="R99" s="66"/>
      <c r="S99" s="66"/>
      <c r="T99" s="66"/>
      <c r="U99" s="66"/>
      <c r="V99" s="66"/>
      <c r="W99" s="66"/>
      <c r="X99" s="67"/>
      <c r="Y99" s="150"/>
      <c r="Z99" s="149"/>
    </row>
    <row r="100" spans="2:26" ht="6" customHeight="1" x14ac:dyDescent="0.2">
      <c r="Y100" s="150"/>
      <c r="Z100" s="149"/>
    </row>
    <row r="101" spans="2:26" ht="15.95" customHeight="1" x14ac:dyDescent="0.2">
      <c r="B101" s="79" t="s">
        <v>217</v>
      </c>
      <c r="G101" s="79" t="str">
        <f>VLOOKUP(Dropdown_BetreutePerson,BetreutePersonMatrix,2,FALSE)</f>
        <v>Bitte wählen…</v>
      </c>
      <c r="R101" s="96" t="str">
        <f>IF(Dropdown_BetreutePerson=1," &lt;&lt;&lt; Auswahl treffen!","")</f>
        <v xml:space="preserve"> &lt;&lt;&lt; Auswahl treffen!</v>
      </c>
      <c r="Y101" s="150"/>
      <c r="Z101" s="424" t="s">
        <v>409</v>
      </c>
    </row>
    <row r="102" spans="2:26" ht="8.1" customHeight="1" x14ac:dyDescent="0.2">
      <c r="Y102" s="150"/>
      <c r="Z102" s="424"/>
    </row>
    <row r="103" spans="2:26" ht="15.95" customHeight="1" x14ac:dyDescent="0.2">
      <c r="B103" s="79" t="s">
        <v>114</v>
      </c>
      <c r="K103" s="93">
        <f>KBParameter!C32</f>
        <v>1</v>
      </c>
      <c r="L103" s="79" t="s">
        <v>113</v>
      </c>
      <c r="Q103" s="97" t="str">
        <f>"(" &amp; KBParameter!D32 &amp; ")"</f>
        <v>(0 EUR bis 1100,99 EUR)</v>
      </c>
      <c r="Y103" s="150"/>
      <c r="Z103" s="424"/>
    </row>
    <row r="104" spans="2:26" ht="3.95" customHeight="1" x14ac:dyDescent="0.2">
      <c r="Y104" s="150"/>
      <c r="Z104" s="424"/>
    </row>
    <row r="105" spans="2:26" ht="15.95" customHeight="1" x14ac:dyDescent="0.2">
      <c r="B105" s="79" t="s">
        <v>112</v>
      </c>
      <c r="C105" s="101"/>
      <c r="D105" s="79" t="str">
        <f>"weitere, vor-/gleichrangig berechtigte Person" &amp; IF(AnzahlUHBerechtigte&lt;&gt;1,"en","") &amp; " besteht Unterhalts-, aber KEINE Kostenbeitragspflicht."</f>
        <v>weitere, vor-/gleichrangig berechtigte Personen besteht Unterhalts-, aber KEINE Kostenbeitragspflicht.</v>
      </c>
      <c r="V105" s="383" t="str">
        <f>IF(AnzahlUHBerechtigte="","&lt;&lt; Pflichtfeld","")</f>
        <v>&lt;&lt; Pflichtfeld</v>
      </c>
      <c r="Y105" s="150"/>
      <c r="Z105" s="424"/>
    </row>
    <row r="106" spans="2:26" ht="3.95" customHeight="1" x14ac:dyDescent="0.2">
      <c r="Y106" s="150"/>
      <c r="Z106" s="424"/>
    </row>
    <row r="107" spans="2:26" ht="15.95" customHeight="1" x14ac:dyDescent="0.2">
      <c r="B107" s="79" t="str">
        <f>IF(AND(DATEDIF(GebDatJM,KBZeitraumVon,"D")&gt;=6574,VorläufigeEKGruppe&gt;13)=TRUE,"Gemäß § 6 KostenbeitragsV erfolgt eine Begrenzung auf Gruppe",IF(KBParameter!C44=KBParameter!C32,"Gemäß § 4 KostenbeitragsV erfolgt KEINE Umgruppierung, die Gruppe ","Gemäß § 4 KostenbeitragsV erfolgt eine Umgruppierung in die Gruppe"))</f>
        <v xml:space="preserve">Gemäß § 4 KostenbeitragsV erfolgt KEINE Umgruppierung, die Gruppe </v>
      </c>
      <c r="O107" s="93">
        <f>KBParameter!C44</f>
        <v>1</v>
      </c>
      <c r="P107" s="79" t="str">
        <f>IF(KBParameter!C44=KBParameter!C32," ist weiterhin maßgeblich.","der Tabelle.")</f>
        <v xml:space="preserve"> ist weiterhin maßgeblich.</v>
      </c>
      <c r="Y107" s="150"/>
      <c r="Z107" s="424"/>
    </row>
    <row r="108" spans="2:26" ht="6" customHeight="1" x14ac:dyDescent="0.2">
      <c r="Y108" s="150"/>
      <c r="Z108" s="424" t="s">
        <v>378</v>
      </c>
    </row>
    <row r="109" spans="2:26" ht="15.95" customHeight="1" x14ac:dyDescent="0.2">
      <c r="B109" s="78" t="str">
        <f>"Vorläufiger Kostenbeitrag nach Beitragsstufe " &amp; VLOOKUP(Dropdown_BetreutePerson,Dropdownfelder!A26:E30,4,FALSE)</f>
        <v xml:space="preserve">Vorläufiger Kostenbeitrag nach Beitragsstufe  </v>
      </c>
      <c r="I109" s="107"/>
      <c r="L109" s="107" t="str">
        <f>IF(Dropdown_BetreutePerson&lt;&gt;1,VLOOKUP(Dropdown_BetreutePerson,Dropdownfelder!A26:E30,5,FALSE),"")</f>
        <v/>
      </c>
      <c r="U109" s="407">
        <f>IF(ISERROR(HLOOKUP(KBParameter!C45,KBParameter!C46:F47,2,FALSE)),0,HLOOKUP(KBParameter!C45,KBParameter!C46:F47,2,FALSE))</f>
        <v>0</v>
      </c>
      <c r="V109" s="408"/>
      <c r="W109" s="408"/>
      <c r="Y109" s="150"/>
      <c r="Z109" s="424"/>
    </row>
    <row r="110" spans="2:26" ht="15.95" customHeight="1" x14ac:dyDescent="0.2">
      <c r="Y110" s="150"/>
      <c r="Z110" s="149"/>
    </row>
    <row r="111" spans="2:26" ht="15.95" customHeight="1" x14ac:dyDescent="0.2">
      <c r="B111" s="78" t="s">
        <v>282</v>
      </c>
      <c r="Y111" s="150"/>
      <c r="Z111" s="424" t="s">
        <v>381</v>
      </c>
    </row>
    <row r="112" spans="2:26" ht="6" customHeight="1" x14ac:dyDescent="0.2">
      <c r="B112" s="78"/>
      <c r="Y112" s="150"/>
      <c r="Z112" s="424"/>
    </row>
    <row r="113" spans="2:26" s="97" customFormat="1" ht="15.95" customHeight="1" x14ac:dyDescent="0.2">
      <c r="B113" s="97" t="str">
        <f>VLOOKUP(Dropdown_Schmälerung,SchmälerungMatrix,2,FALSE)</f>
        <v>Bitte wählen…</v>
      </c>
      <c r="N113" s="86"/>
      <c r="Y113" s="150"/>
      <c r="Z113" s="424"/>
    </row>
    <row r="114" spans="2:26" s="97" customFormat="1" ht="15.95" customHeight="1" x14ac:dyDescent="0.2">
      <c r="B114" s="97" t="str">
        <f>IF(AND(Dropdown_Schmälerung=2,AnzahlUHBerechtigte=0)=TRUE,"",IF(Dropdown_Schmälerung=1,"Auswahl treffen!",IF(OR(AND(Dropdown_Schmälerung=2,U114&gt;0)=TRUE,AND(Dropdown_Schmälerung=3,U114&lt;=0)=TRUE),"Falsche Auswahl!","Reduzierungsbetrag")))</f>
        <v>Auswahl treffen!</v>
      </c>
      <c r="N114" s="86"/>
      <c r="U114" s="423">
        <f>IF(Dropdownfelder!A33=3,Schmälerungsverbot!U166,0)</f>
        <v>0</v>
      </c>
      <c r="V114" s="423"/>
      <c r="W114" s="423"/>
      <c r="X114" s="98" t="s">
        <v>163</v>
      </c>
      <c r="Y114" s="150"/>
      <c r="Z114" s="351" t="s">
        <v>369</v>
      </c>
    </row>
    <row r="115" spans="2:26" s="90" customFormat="1" ht="6" customHeight="1" x14ac:dyDescent="0.2">
      <c r="B115" s="96"/>
      <c r="K115" s="92"/>
      <c r="L115" s="92"/>
      <c r="M115" s="92"/>
      <c r="N115" s="92"/>
      <c r="O115" s="92"/>
      <c r="P115" s="92"/>
      <c r="Q115" s="92"/>
      <c r="R115" s="92"/>
      <c r="X115" s="84"/>
      <c r="Y115" s="150"/>
      <c r="Z115" s="151"/>
    </row>
    <row r="116" spans="2:26" s="90" customFormat="1" ht="15.95" customHeight="1" x14ac:dyDescent="0.2">
      <c r="B116" s="97" t="s">
        <v>375</v>
      </c>
      <c r="K116" s="92"/>
      <c r="L116" s="92"/>
      <c r="M116" s="92"/>
      <c r="N116" s="92"/>
      <c r="O116" s="92"/>
      <c r="P116" s="92"/>
      <c r="Q116" s="92"/>
      <c r="R116" s="92"/>
      <c r="U116" s="425">
        <f>IF(VorläufigerKB-U114&lt;0,0,VorläufigerKB-U114)</f>
        <v>0</v>
      </c>
      <c r="V116" s="426"/>
      <c r="W116" s="426"/>
      <c r="X116" s="84"/>
      <c r="Y116" s="150"/>
      <c r="Z116" s="151"/>
    </row>
    <row r="117" spans="2:26" s="90" customFormat="1" ht="15.95" customHeight="1" x14ac:dyDescent="0.2">
      <c r="B117" s="97"/>
      <c r="K117" s="92"/>
      <c r="L117" s="92"/>
      <c r="M117" s="92"/>
      <c r="N117" s="92"/>
      <c r="O117" s="92"/>
      <c r="P117" s="92"/>
      <c r="Q117" s="92"/>
      <c r="R117" s="92"/>
      <c r="U117" s="388"/>
      <c r="V117" s="389"/>
      <c r="W117" s="389"/>
      <c r="X117" s="84"/>
      <c r="Y117" s="150"/>
      <c r="Z117" s="151"/>
    </row>
    <row r="118" spans="2:26" s="90" customFormat="1" ht="15.95" customHeight="1" x14ac:dyDescent="0.2">
      <c r="B118" s="78" t="s">
        <v>387</v>
      </c>
      <c r="K118" s="92"/>
      <c r="L118" s="92"/>
      <c r="M118" s="92"/>
      <c r="N118" s="92"/>
      <c r="O118" s="92"/>
      <c r="P118" s="92"/>
      <c r="Q118" s="92"/>
      <c r="R118" s="92"/>
      <c r="U118" s="385"/>
      <c r="V118" s="386"/>
      <c r="W118" s="386"/>
      <c r="X118" s="84"/>
      <c r="Y118" s="150"/>
      <c r="Z118" s="151"/>
    </row>
    <row r="119" spans="2:26" s="90" customFormat="1" ht="6" customHeight="1" x14ac:dyDescent="0.2">
      <c r="B119" s="96"/>
      <c r="K119" s="92"/>
      <c r="L119" s="92"/>
      <c r="M119" s="92"/>
      <c r="N119" s="92"/>
      <c r="O119" s="92"/>
      <c r="P119" s="92"/>
      <c r="Q119" s="92"/>
      <c r="R119" s="92"/>
      <c r="U119" s="385"/>
      <c r="V119" s="386"/>
      <c r="W119" s="386"/>
      <c r="X119" s="84"/>
      <c r="Y119" s="150"/>
      <c r="Z119" s="151"/>
    </row>
    <row r="120" spans="2:26" s="90" customFormat="1" ht="15.95" customHeight="1" x14ac:dyDescent="0.2">
      <c r="B120" s="90" t="str">
        <f>VLOOKUP(Dropdownfelder!A136,Dropdownfelder!A137:C140,2,FALSE)</f>
        <v>Bitte wählen…</v>
      </c>
      <c r="K120" s="92"/>
      <c r="L120" s="92"/>
      <c r="M120" s="92"/>
      <c r="N120" s="92"/>
      <c r="O120" s="92"/>
      <c r="P120" s="92"/>
      <c r="Q120" s="92"/>
      <c r="R120" s="92"/>
      <c r="Y120" s="150"/>
      <c r="Z120" s="151"/>
    </row>
    <row r="121" spans="2:26" s="90" customFormat="1" ht="15.95" customHeight="1" x14ac:dyDescent="0.2">
      <c r="B121" s="97" t="str">
        <f>IF(Dropdownfelder!A136=1,"Auswahl treffen!",VLOOKUP(Dropdownfelder!A136,Dropdownfelder!A137:C140,3,FALSE))</f>
        <v>Auswahl treffen!</v>
      </c>
      <c r="K121" s="92"/>
      <c r="L121" s="92"/>
      <c r="M121" s="92"/>
      <c r="N121" s="92"/>
      <c r="O121" s="92"/>
      <c r="P121" s="92"/>
      <c r="Q121" s="92"/>
      <c r="R121" s="92"/>
      <c r="U121" s="423">
        <f>IF(Dropdownfelder!A136=2,Hauptberechnung!U116/2,0)</f>
        <v>0</v>
      </c>
      <c r="V121" s="423"/>
      <c r="W121" s="423"/>
      <c r="X121" s="387" t="s">
        <v>163</v>
      </c>
      <c r="Y121" s="150"/>
      <c r="Z121" s="151"/>
    </row>
    <row r="122" spans="2:26" s="90" customFormat="1" ht="3.95" customHeight="1" x14ac:dyDescent="0.2">
      <c r="B122" s="97"/>
      <c r="K122" s="92"/>
      <c r="L122" s="92"/>
      <c r="M122" s="92"/>
      <c r="N122" s="92"/>
      <c r="O122" s="92"/>
      <c r="P122" s="92"/>
      <c r="Q122" s="92"/>
      <c r="R122" s="92"/>
      <c r="U122" s="81"/>
      <c r="V122" s="81"/>
      <c r="W122" s="81"/>
      <c r="X122" s="387"/>
      <c r="Y122" s="150"/>
      <c r="Z122" s="151"/>
    </row>
    <row r="123" spans="2:26" s="90" customFormat="1" ht="15.95" customHeight="1" x14ac:dyDescent="0.2">
      <c r="B123" s="97" t="s">
        <v>375</v>
      </c>
      <c r="F123" s="383"/>
      <c r="K123" s="92"/>
      <c r="L123" s="92"/>
      <c r="M123" s="92"/>
      <c r="N123" s="92"/>
      <c r="O123" s="92"/>
      <c r="P123" s="92"/>
      <c r="Q123" s="92"/>
      <c r="R123" s="92"/>
      <c r="U123" s="425">
        <f>U116-U121</f>
        <v>0</v>
      </c>
      <c r="V123" s="426"/>
      <c r="W123" s="426"/>
      <c r="X123" s="84"/>
      <c r="Y123" s="150"/>
      <c r="Z123" s="151"/>
    </row>
    <row r="124" spans="2:26" s="90" customFormat="1" ht="6" customHeight="1" thickBot="1" x14ac:dyDescent="0.25">
      <c r="B124" s="96"/>
      <c r="K124" s="92"/>
      <c r="L124" s="92"/>
      <c r="M124" s="92"/>
      <c r="N124" s="92"/>
      <c r="O124" s="92"/>
      <c r="P124" s="92"/>
      <c r="Q124" s="92"/>
      <c r="R124" s="92"/>
      <c r="U124" s="81"/>
      <c r="V124" s="81"/>
      <c r="W124" s="81"/>
      <c r="X124" s="84"/>
      <c r="Y124" s="150"/>
      <c r="Z124" s="428" t="s">
        <v>229</v>
      </c>
    </row>
    <row r="125" spans="2:26" ht="20.100000000000001" customHeight="1" thickBot="1" x14ac:dyDescent="0.25">
      <c r="B125" s="78" t="s">
        <v>91</v>
      </c>
      <c r="U125" s="429">
        <f>ROUND(U123,0)</f>
        <v>0</v>
      </c>
      <c r="V125" s="430"/>
      <c r="W125" s="431"/>
      <c r="X125" s="99"/>
      <c r="Y125" s="150"/>
      <c r="Z125" s="428"/>
    </row>
    <row r="126" spans="2:26" ht="15.95" customHeight="1" x14ac:dyDescent="0.2">
      <c r="B126" s="100" t="s">
        <v>117</v>
      </c>
      <c r="Y126" s="150"/>
      <c r="Z126" s="428"/>
    </row>
    <row r="127" spans="2:26" ht="6" customHeight="1" x14ac:dyDescent="0.2">
      <c r="B127" s="100"/>
      <c r="Y127" s="150"/>
      <c r="Z127" s="397"/>
    </row>
    <row r="128" spans="2:26" ht="15.95" customHeight="1" x14ac:dyDescent="0.2">
      <c r="Y128" s="150"/>
      <c r="Z128" s="151"/>
    </row>
    <row r="129" spans="2:26" ht="15.95" customHeight="1" x14ac:dyDescent="0.2">
      <c r="B129" s="398"/>
      <c r="C129" s="398"/>
      <c r="D129" s="398"/>
      <c r="E129" s="398"/>
      <c r="F129" s="398"/>
      <c r="G129" s="398"/>
      <c r="H129" s="398"/>
      <c r="I129" s="398"/>
      <c r="J129" s="398"/>
      <c r="K129" s="398"/>
      <c r="Y129" s="150"/>
      <c r="Z129" s="151"/>
    </row>
    <row r="130" spans="2:26" ht="15.95" customHeight="1" x14ac:dyDescent="0.2">
      <c r="B130" s="97" t="s">
        <v>397</v>
      </c>
      <c r="Y130" s="150"/>
      <c r="Z130" s="151"/>
    </row>
  </sheetData>
  <sheetProtection sheet="1" objects="1" scenarios="1" autoFilter="0"/>
  <mergeCells count="122">
    <mergeCell ref="K1:N1"/>
    <mergeCell ref="U50:W50"/>
    <mergeCell ref="B81:K81"/>
    <mergeCell ref="V1:W1"/>
    <mergeCell ref="B29:G29"/>
    <mergeCell ref="B30:G30"/>
    <mergeCell ref="U28:W28"/>
    <mergeCell ref="U29:W29"/>
    <mergeCell ref="U30:W30"/>
    <mergeCell ref="K29:M29"/>
    <mergeCell ref="K35:M35"/>
    <mergeCell ref="K11:W11"/>
    <mergeCell ref="K15:W15"/>
    <mergeCell ref="K17:M17"/>
    <mergeCell ref="K21:M21"/>
    <mergeCell ref="K13:M13"/>
    <mergeCell ref="K28:M28"/>
    <mergeCell ref="K30:M30"/>
    <mergeCell ref="K31:M31"/>
    <mergeCell ref="U31:W31"/>
    <mergeCell ref="R1:S1"/>
    <mergeCell ref="O21:Q21"/>
    <mergeCell ref="U35:W35"/>
    <mergeCell ref="M81:O81"/>
    <mergeCell ref="K9:R9"/>
    <mergeCell ref="T9:W9"/>
    <mergeCell ref="S63:T63"/>
    <mergeCell ref="S64:T64"/>
    <mergeCell ref="S65:T65"/>
    <mergeCell ref="S66:T66"/>
    <mergeCell ref="S67:T67"/>
    <mergeCell ref="Z7:Z11"/>
    <mergeCell ref="Z16:Z17"/>
    <mergeCell ref="U65:W65"/>
    <mergeCell ref="U63:W63"/>
    <mergeCell ref="U36:W36"/>
    <mergeCell ref="U37:W37"/>
    <mergeCell ref="U39:W39"/>
    <mergeCell ref="K36:M36"/>
    <mergeCell ref="Z13:Z14"/>
    <mergeCell ref="Z19:Z22"/>
    <mergeCell ref="Z28:Z39"/>
    <mergeCell ref="Z50:Z56"/>
    <mergeCell ref="Z63:Z67"/>
    <mergeCell ref="K37:M37"/>
    <mergeCell ref="K33:M33"/>
    <mergeCell ref="K34:M34"/>
    <mergeCell ref="U33:W33"/>
    <mergeCell ref="U125:W125"/>
    <mergeCell ref="U116:W116"/>
    <mergeCell ref="U97:W97"/>
    <mergeCell ref="U95:W95"/>
    <mergeCell ref="U91:W91"/>
    <mergeCell ref="M75:O75"/>
    <mergeCell ref="Z124:Z126"/>
    <mergeCell ref="Z111:Z113"/>
    <mergeCell ref="Z108:Z109"/>
    <mergeCell ref="M80:O80"/>
    <mergeCell ref="Z77:Z78"/>
    <mergeCell ref="M82:O82"/>
    <mergeCell ref="M84:O84"/>
    <mergeCell ref="B87:K87"/>
    <mergeCell ref="M83:O83"/>
    <mergeCell ref="M89:O89"/>
    <mergeCell ref="U121:W121"/>
    <mergeCell ref="Z101:Z107"/>
    <mergeCell ref="U123:W123"/>
    <mergeCell ref="Z79:Z87"/>
    <mergeCell ref="Z89:Z92"/>
    <mergeCell ref="B86:K86"/>
    <mergeCell ref="M86:O86"/>
    <mergeCell ref="M87:O87"/>
    <mergeCell ref="M85:O85"/>
    <mergeCell ref="U109:W109"/>
    <mergeCell ref="U114:W114"/>
    <mergeCell ref="Z97:Z98"/>
    <mergeCell ref="B83:K83"/>
    <mergeCell ref="B84:K84"/>
    <mergeCell ref="B85:K85"/>
    <mergeCell ref="U69:W69"/>
    <mergeCell ref="B82:K82"/>
    <mergeCell ref="B63:P63"/>
    <mergeCell ref="B66:P66"/>
    <mergeCell ref="H75:J75"/>
    <mergeCell ref="B65:P65"/>
    <mergeCell ref="B64:P64"/>
    <mergeCell ref="U66:W66"/>
    <mergeCell ref="K44:M44"/>
    <mergeCell ref="U64:W64"/>
    <mergeCell ref="U67:W67"/>
    <mergeCell ref="B67:P67"/>
    <mergeCell ref="U56:W56"/>
    <mergeCell ref="S56:T56"/>
    <mergeCell ref="B38:I38"/>
    <mergeCell ref="B39:I39"/>
    <mergeCell ref="U51:W51"/>
    <mergeCell ref="U53:W53"/>
    <mergeCell ref="K54:R54"/>
    <mergeCell ref="K52:R52"/>
    <mergeCell ref="U52:W52"/>
    <mergeCell ref="U54:W54"/>
    <mergeCell ref="K53:R53"/>
    <mergeCell ref="K41:M41"/>
    <mergeCell ref="K43:M43"/>
    <mergeCell ref="U46:W46"/>
    <mergeCell ref="K38:M38"/>
    <mergeCell ref="U41:W41"/>
    <mergeCell ref="U32:W32"/>
    <mergeCell ref="U34:W34"/>
    <mergeCell ref="K55:R55"/>
    <mergeCell ref="U55:W55"/>
    <mergeCell ref="U60:W60"/>
    <mergeCell ref="U58:W58"/>
    <mergeCell ref="K56:R56"/>
    <mergeCell ref="S55:T55"/>
    <mergeCell ref="K39:M39"/>
    <mergeCell ref="K46:M46"/>
    <mergeCell ref="S52:T52"/>
    <mergeCell ref="S53:T53"/>
    <mergeCell ref="S54:T54"/>
    <mergeCell ref="K32:M32"/>
    <mergeCell ref="U38:W38"/>
  </mergeCells>
  <phoneticPr fontId="2" type="noConversion"/>
  <conditionalFormatting sqref="U125:W125 U109:W109 U97:W97 U69:W70 U58:W60 U92:W92 U123:W123 U116:W119">
    <cfRule type="cellIs" dxfId="63" priority="24" stopIfTrue="1" operator="equal">
      <formula>"&lt;&lt;&lt; Auswahl"</formula>
    </cfRule>
  </conditionalFormatting>
  <conditionalFormatting sqref="U96:W96 U124:W124 U63:W68 M81:O83 K28:M40 U28:W40 U52:W57 M88:O88">
    <cfRule type="cellIs" dxfId="62" priority="25" stopIfTrue="1" operator="equal">
      <formula>0</formula>
    </cfRule>
    <cfRule type="cellIs" dxfId="61" priority="26" stopIfTrue="1" operator="greaterThan">
      <formula>0</formula>
    </cfRule>
    <cfRule type="cellIs" dxfId="60" priority="27" stopIfTrue="1" operator="lessThan">
      <formula>0</formula>
    </cfRule>
  </conditionalFormatting>
  <conditionalFormatting sqref="K96:R96 K68:R68 K57:R57 K115:R124">
    <cfRule type="cellIs" dxfId="59" priority="28" stopIfTrue="1" operator="equal">
      <formula>"auf mtl. Betrag umgelegt"</formula>
    </cfRule>
  </conditionalFormatting>
  <conditionalFormatting sqref="C105 I79 L79">
    <cfRule type="cellIs" dxfId="58" priority="29" stopIfTrue="1" operator="equal">
      <formula>0</formula>
    </cfRule>
  </conditionalFormatting>
  <conditionalFormatting sqref="B82">
    <cfRule type="cellIs" dxfId="57" priority="30" stopIfTrue="1" operator="equal">
      <formula>"Sonstiger berufsbedingter Aufwand, z.B. Spesen"</formula>
    </cfRule>
  </conditionalFormatting>
  <conditionalFormatting sqref="B63">
    <cfRule type="cellIs" dxfId="56" priority="31" stopIfTrue="1" operator="equal">
      <formula>"Beitrag zur Altersvorsorge"</formula>
    </cfRule>
  </conditionalFormatting>
  <conditionalFormatting sqref="B64">
    <cfRule type="cellIs" dxfId="55" priority="32" stopIfTrue="1" operator="equal">
      <formula>"Beitrag zur Krankenversicherung"</formula>
    </cfRule>
  </conditionalFormatting>
  <conditionalFormatting sqref="B65">
    <cfRule type="cellIs" dxfId="54" priority="33" stopIfTrue="1" operator="equal">
      <formula>"Beitrag zur Pflegeversicherung"</formula>
    </cfRule>
  </conditionalFormatting>
  <conditionalFormatting sqref="B66">
    <cfRule type="cellIs" dxfId="53" priority="34" stopIfTrue="1" operator="equal">
      <formula>"Beitrag zur Arbeitslosenversicherung"</formula>
    </cfRule>
  </conditionalFormatting>
  <conditionalFormatting sqref="B67">
    <cfRule type="cellIs" dxfId="52" priority="35" stopIfTrue="1" operator="equal">
      <formula>"Sonstiger Beitrag"</formula>
    </cfRule>
  </conditionalFormatting>
  <conditionalFormatting sqref="B81:K81">
    <cfRule type="cellIs" dxfId="51" priority="36" stopIfTrue="1" operator="equal">
      <formula>"Mtl. Beitrag zu öff./priv. Versicherungen u.ä. Einr."</formula>
    </cfRule>
  </conditionalFormatting>
  <conditionalFormatting sqref="B83:K83">
    <cfRule type="cellIs" dxfId="50" priority="37" stopIfTrue="1" operator="equal">
      <formula>"Schuldverpflichtungen"</formula>
    </cfRule>
  </conditionalFormatting>
  <conditionalFormatting sqref="B87:K88">
    <cfRule type="cellIs" dxfId="49" priority="38" stopIfTrue="1" operator="equal">
      <formula>"Sonstige Belastungen iSd § 93 Abs. 3 SGB VIII"</formula>
    </cfRule>
  </conditionalFormatting>
  <conditionalFormatting sqref="U50:W51">
    <cfRule type="cellIs" dxfId="48" priority="39" stopIfTrue="1" operator="equal">
      <formula>" &lt;&lt;&lt; Auswahl"</formula>
    </cfRule>
  </conditionalFormatting>
  <conditionalFormatting sqref="K52:R56">
    <cfRule type="cellIs" dxfId="47" priority="40" stopIfTrue="1" operator="equal">
      <formula>"Bezeichnung"</formula>
    </cfRule>
  </conditionalFormatting>
  <conditionalFormatting sqref="K11:W11">
    <cfRule type="cellIs" dxfId="46" priority="41" stopIfTrue="1" operator="equal">
      <formula>"Name JM"</formula>
    </cfRule>
  </conditionalFormatting>
  <conditionalFormatting sqref="K15:W15">
    <cfRule type="cellIs" dxfId="45" priority="42" stopIfTrue="1" operator="equal">
      <formula>"Name Pflichtige/r"</formula>
    </cfRule>
  </conditionalFormatting>
  <conditionalFormatting sqref="K21:M21 O21:Q21">
    <cfRule type="cellIs" dxfId="44" priority="43" stopIfTrue="1" operator="equal">
      <formula>"Eingabe !"</formula>
    </cfRule>
    <cfRule type="cellIs" dxfId="43" priority="44" stopIfTrue="1" operator="notEqual">
      <formula>"Eingabe !"</formula>
    </cfRule>
  </conditionalFormatting>
  <conditionalFormatting sqref="B86:K86">
    <cfRule type="cellIs" dxfId="42" priority="23" stopIfTrue="1" operator="equal">
      <formula>"Sonstige Belastungen iSd § 93 Abs. 3 SGB VIII"</formula>
    </cfRule>
  </conditionalFormatting>
  <conditionalFormatting sqref="B85:K85">
    <cfRule type="cellIs" dxfId="41" priority="19" stopIfTrue="1" operator="equal">
      <formula>"Sonstige Belastungen iSd § 93 Abs. 3 SGB VIII"</formula>
    </cfRule>
  </conditionalFormatting>
  <conditionalFormatting sqref="M84:O87">
    <cfRule type="cellIs" dxfId="40" priority="9" stopIfTrue="1" operator="equal">
      <formula>0</formula>
    </cfRule>
    <cfRule type="cellIs" dxfId="39" priority="10" stopIfTrue="1" operator="greaterThan">
      <formula>0</formula>
    </cfRule>
    <cfRule type="cellIs" dxfId="38" priority="11" stopIfTrue="1" operator="lessThan">
      <formula>0</formula>
    </cfRule>
  </conditionalFormatting>
  <conditionalFormatting sqref="B84:K84">
    <cfRule type="cellIs" dxfId="37" priority="15" stopIfTrue="1" operator="equal">
      <formula>"Sonstige Belastungen iSd § 93 Abs. 3 SGB VIII"</formula>
    </cfRule>
  </conditionalFormatting>
  <conditionalFormatting sqref="B114">
    <cfRule type="cellIs" dxfId="36" priority="7" operator="equal">
      <formula>"Falsche Auswahl!"</formula>
    </cfRule>
    <cfRule type="cellIs" dxfId="35" priority="8" operator="equal">
      <formula>"Auswahl treffen!"</formula>
    </cfRule>
  </conditionalFormatting>
  <conditionalFormatting sqref="B38:I39">
    <cfRule type="cellIs" dxfId="34" priority="6" operator="equal">
      <formula>"Sonstiger Abzug"</formula>
    </cfRule>
  </conditionalFormatting>
  <conditionalFormatting sqref="B121:B122">
    <cfRule type="cellIs" dxfId="33" priority="4" operator="equal">
      <formula>"Falsche Auswahl!"</formula>
    </cfRule>
    <cfRule type="cellIs" dxfId="32" priority="5" operator="equal">
      <formula>"Auswahl treffen!"</formula>
    </cfRule>
  </conditionalFormatting>
  <conditionalFormatting sqref="K9 T9">
    <cfRule type="cellIs" dxfId="31" priority="3" stopIfTrue="1" operator="equal">
      <formula>"Name JM"</formula>
    </cfRule>
  </conditionalFormatting>
  <conditionalFormatting sqref="K9:R9">
    <cfRule type="cellIs" dxfId="30" priority="2" operator="equal">
      <formula>"Aktenzeichen"</formula>
    </cfRule>
  </conditionalFormatting>
  <conditionalFormatting sqref="T9:W9">
    <cfRule type="cellIs" dxfId="29" priority="1" operator="equal">
      <formula>"Datum"</formula>
    </cfRule>
  </conditionalFormatting>
  <dataValidations count="5">
    <dataValidation type="date" allowBlank="1" showInputMessage="1" showErrorMessage="1" errorTitle="Hinweis" error="Diese Berechnungsvorlage kann nur für Kostenbeiträge vom 01.01.2016 bis 31.12.2016 verwendet werden!" promptTitle="Pflichtfeld" prompt="Sie müssen ein Beginndatum für die Berechnung eintragen." sqref="K17:M17" xr:uid="{00000000-0002-0000-0000-000000000000}">
      <formula1>42370</formula1>
      <formula2>42735</formula2>
    </dataValidation>
    <dataValidation type="date" operator="lessThanOrEqual" allowBlank="1" showInputMessage="1" showErrorMessage="1" errorTitle="Geburtsdatum" error="Das Geburtsdatum des jungen Menschen muss kleiner oder gleich dem heutigen Tag sein." promptTitle="Pflichtfeld" prompt="Sie müssen das Geburtsdatum des untergebrachten jungen Menschen eintragen." sqref="K13:M13" xr:uid="{00000000-0002-0000-0000-000001000000}">
      <formula1>NOW()</formula1>
    </dataValidation>
    <dataValidation allowBlank="1" showInputMessage="1" showErrorMessage="1" promptTitle="Einkommenszeitraum" prompt="Wenn Sie hier manuell ein Datum eintragen, wird die Formel überschrieben, die das Datum automatisch aus der vorstehenden Auswahl erzeugt." sqref="K21:M21 O21:Q21" xr:uid="{00000000-0002-0000-0000-000002000000}"/>
    <dataValidation allowBlank="1" showInputMessage="1" showErrorMessage="1" promptTitle="Hinweis" prompt="Den hier vorgeschlagenen Text können Sie überschreiben." sqref="B81:K87 K52:R56" xr:uid="{00000000-0002-0000-0000-000003000000}"/>
    <dataValidation allowBlank="1" showInputMessage="1" promptTitle="Hinweis" prompt="Den hier vorgeschlagenen Text können Sie überschreiben." sqref="B63:P67" xr:uid="{00000000-0002-0000-0000-000004000000}"/>
  </dataValidations>
  <hyperlinks>
    <hyperlink ref="K1" r:id="rId1" tooltip="www.kostenbeitrag.de - Infos für Jugendämter in Hessen" xr:uid="{00000000-0004-0000-0000-000000000000}"/>
    <hyperlink ref="Z95" location="'Einkommen selbst. Tätigkeit'!D8" display="Betrag laut Nebenrechnung &quot;Einkommen selbst. Tätigkeit&quot;" xr:uid="{00000000-0004-0000-0000-000001000000}"/>
    <hyperlink ref="Z114" location="Schmälerungsverbot!K9" display="Reduzierungsbetrag laut Nebenrechnung &quot;Schmälerungsverbot&quot;" xr:uid="{00000000-0004-0000-0000-000002000000}"/>
  </hyperlinks>
  <pageMargins left="0.78740157480314965" right="0.39370078740157483" top="0.59055118110236227" bottom="0.39370078740157483" header="0.39370078740157483" footer="0.39370078740157483"/>
  <pageSetup paperSize="9" scale="80" fitToHeight="2" orientation="portrait" blackAndWhite="1" r:id="rId2"/>
  <headerFooter alignWithMargins="0">
    <oddFooter>&amp;R&amp;8&amp;F
&amp;A
Seite &amp;P</oddFooter>
  </headerFooter>
  <rowBreaks count="1" manualBreakCount="1">
    <brk id="59" min="1" max="2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7" r:id="rId5" name="Drop Down 3">
              <controlPr defaultSize="0" print="0" autoLine="0" autoPict="0">
                <anchor moveWithCells="1">
                  <from>
                    <xdr:col>10</xdr:col>
                    <xdr:colOff>0</xdr:colOff>
                    <xdr:row>18</xdr:row>
                    <xdr:rowOff>0</xdr:rowOff>
                  </from>
                  <to>
                    <xdr:col>23</xdr:col>
                    <xdr:colOff>0</xdr:colOff>
                    <xdr:row>19</xdr:row>
                    <xdr:rowOff>0</xdr:rowOff>
                  </to>
                </anchor>
              </controlPr>
            </control>
          </mc:Choice>
        </mc:AlternateContent>
        <mc:AlternateContent xmlns:mc="http://schemas.openxmlformats.org/markup-compatibility/2006">
          <mc:Choice Requires="x14">
            <control shapeId="1028" r:id="rId6" name="Drop Down 4">
              <controlPr defaultSize="0" print="0" autoLine="0" autoPict="0">
                <anchor moveWithCells="1">
                  <from>
                    <xdr:col>10</xdr:col>
                    <xdr:colOff>0</xdr:colOff>
                    <xdr:row>49</xdr:row>
                    <xdr:rowOff>0</xdr:rowOff>
                  </from>
                  <to>
                    <xdr:col>19</xdr:col>
                    <xdr:colOff>0</xdr:colOff>
                    <xdr:row>50</xdr:row>
                    <xdr:rowOff>0</xdr:rowOff>
                  </to>
                </anchor>
              </controlPr>
            </control>
          </mc:Choice>
        </mc:AlternateContent>
        <mc:AlternateContent xmlns:mc="http://schemas.openxmlformats.org/markup-compatibility/2006">
          <mc:Choice Requires="x14">
            <control shapeId="1029" r:id="rId7" name="Drop Down 5">
              <controlPr defaultSize="0" print="0" autoLine="0" autoPict="0">
                <anchor moveWithCells="1">
                  <from>
                    <xdr:col>10</xdr:col>
                    <xdr:colOff>0</xdr:colOff>
                    <xdr:row>50</xdr:row>
                    <xdr:rowOff>0</xdr:rowOff>
                  </from>
                  <to>
                    <xdr:col>19</xdr:col>
                    <xdr:colOff>0</xdr:colOff>
                    <xdr:row>51</xdr:row>
                    <xdr:rowOff>0</xdr:rowOff>
                  </to>
                </anchor>
              </controlPr>
            </control>
          </mc:Choice>
        </mc:AlternateContent>
        <mc:AlternateContent xmlns:mc="http://schemas.openxmlformats.org/markup-compatibility/2006">
          <mc:Choice Requires="x14">
            <control shapeId="1035" r:id="rId8" name="Drop Down 11">
              <controlPr defaultSize="0" print="0" autoLine="0" autoPict="0">
                <anchor moveWithCells="1" sizeWithCells="1">
                  <from>
                    <xdr:col>6</xdr:col>
                    <xdr:colOff>0</xdr:colOff>
                    <xdr:row>100</xdr:row>
                    <xdr:rowOff>0</xdr:rowOff>
                  </from>
                  <to>
                    <xdr:col>17</xdr:col>
                    <xdr:colOff>0</xdr:colOff>
                    <xdr:row>101</xdr:row>
                    <xdr:rowOff>0</xdr:rowOff>
                  </to>
                </anchor>
              </controlPr>
            </control>
          </mc:Choice>
        </mc:AlternateContent>
        <mc:AlternateContent xmlns:mc="http://schemas.openxmlformats.org/markup-compatibility/2006">
          <mc:Choice Requires="x14">
            <control shapeId="1036" r:id="rId9" name="Drop Down 12">
              <controlPr defaultSize="0" print="0" autoLine="0" autoPict="0">
                <anchor moveWithCells="1" sizeWithCells="1">
                  <from>
                    <xdr:col>1</xdr:col>
                    <xdr:colOff>0</xdr:colOff>
                    <xdr:row>112</xdr:row>
                    <xdr:rowOff>0</xdr:rowOff>
                  </from>
                  <to>
                    <xdr:col>20</xdr:col>
                    <xdr:colOff>0</xdr:colOff>
                    <xdr:row>113</xdr:row>
                    <xdr:rowOff>0</xdr:rowOff>
                  </to>
                </anchor>
              </controlPr>
            </control>
          </mc:Choice>
        </mc:AlternateContent>
        <mc:AlternateContent xmlns:mc="http://schemas.openxmlformats.org/markup-compatibility/2006">
          <mc:Choice Requires="x14">
            <control shapeId="1037" r:id="rId10" name="Drop Down 13">
              <controlPr defaultSize="0" print="0" autoLine="0" autoPict="0">
                <anchor moveWithCells="1" sizeWithCells="1">
                  <from>
                    <xdr:col>1</xdr:col>
                    <xdr:colOff>0</xdr:colOff>
                    <xdr:row>119</xdr:row>
                    <xdr:rowOff>0</xdr:rowOff>
                  </from>
                  <to>
                    <xdr:col>19</xdr:col>
                    <xdr:colOff>0</xdr:colOff>
                    <xdr:row>120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7"/>
  </sheetPr>
  <dimension ref="A1:X78"/>
  <sheetViews>
    <sheetView showGridLines="0" showRowColHeaders="0" workbookViewId="0">
      <pane ySplit="3" topLeftCell="A4" activePane="bottomLeft" state="frozenSplit"/>
      <selection activeCell="K9" sqref="K9:W9"/>
      <selection pane="bottomLeft" activeCell="D8" sqref="D8"/>
    </sheetView>
  </sheetViews>
  <sheetFormatPr baseColWidth="10" defaultColWidth="0" defaultRowHeight="15.95" customHeight="1" x14ac:dyDescent="0.2"/>
  <cols>
    <col min="1" max="1" width="4.7109375" style="222" customWidth="1"/>
    <col min="2" max="2" width="46.7109375" style="222" customWidth="1"/>
    <col min="3" max="3" width="9" style="222" customWidth="1"/>
    <col min="4" max="4" width="12.7109375" style="222" customWidth="1"/>
    <col min="5" max="5" width="4.140625" style="224" customWidth="1"/>
    <col min="6" max="6" width="5.5703125" style="222" customWidth="1"/>
    <col min="7" max="7" width="15.5703125" style="222" customWidth="1"/>
    <col min="8" max="8" width="4.140625" style="259" customWidth="1"/>
    <col min="9" max="9" width="2.28515625" style="225" customWidth="1"/>
    <col min="10" max="10" width="5.42578125" style="222" customWidth="1"/>
    <col min="11" max="11" width="4.7109375" style="225" customWidth="1"/>
    <col min="12" max="12" width="62.42578125" style="231" customWidth="1"/>
    <col min="13" max="13" width="0" style="222" hidden="1" customWidth="1"/>
    <col min="14" max="24" width="11.42578125" style="222" hidden="1" customWidth="1"/>
    <col min="25" max="16384" width="0" style="222" hidden="1"/>
  </cols>
  <sheetData>
    <row r="1" spans="1:12" s="100" customFormat="1" ht="21.75" customHeight="1" x14ac:dyDescent="0.2">
      <c r="A1" s="103"/>
      <c r="B1" s="220" t="s">
        <v>330</v>
      </c>
      <c r="C1" s="311" t="s">
        <v>132</v>
      </c>
      <c r="D1" s="312"/>
      <c r="E1" s="50"/>
      <c r="F1" s="51" t="s">
        <v>321</v>
      </c>
      <c r="G1" s="219">
        <f>Hauptberechnung!R1</f>
        <v>42370</v>
      </c>
      <c r="H1" s="52"/>
      <c r="I1" s="51" t="s">
        <v>133</v>
      </c>
      <c r="J1" s="439">
        <f>Hauptberechnung!V1</f>
        <v>43159</v>
      </c>
      <c r="K1" s="439"/>
      <c r="L1" s="50" t="s">
        <v>206</v>
      </c>
    </row>
    <row r="2" spans="1:12" s="53" customFormat="1" ht="12" x14ac:dyDescent="0.2">
      <c r="B2" s="159" t="str">
        <f>"Anlage zur Kostenbeitragsberechnung "&amp;NameJM&amp;" / "&amp;NamePflichtiger&amp;" für die Zeit ab "&amp;(DAY(KBZeitraumVon)&amp;"."&amp;MONTH(KBZeitraumVon)&amp;"."&amp;YEAR(KBZeitraumVon))</f>
        <v>Anlage zur Kostenbeitragsberechnung Name JM / Name Pflichtige/r für die Zeit ab 0.1.1900</v>
      </c>
      <c r="H2" s="54"/>
      <c r="I2" s="285"/>
      <c r="J2" s="285"/>
      <c r="K2" s="285"/>
      <c r="L2" s="145"/>
    </row>
    <row r="3" spans="1:12" s="56" customFormat="1" ht="32.1" customHeight="1" x14ac:dyDescent="0.2">
      <c r="B3" s="55"/>
      <c r="H3" s="57"/>
      <c r="I3" s="286"/>
      <c r="J3" s="286"/>
      <c r="K3" s="286"/>
      <c r="L3" s="147"/>
    </row>
    <row r="4" spans="1:12" s="232" customFormat="1" ht="20.25" x14ac:dyDescent="0.2">
      <c r="B4" s="233" t="s">
        <v>324</v>
      </c>
      <c r="C4" s="234"/>
      <c r="D4" s="235"/>
      <c r="E4" s="235"/>
      <c r="H4" s="297"/>
      <c r="I4" s="261"/>
      <c r="J4" s="261"/>
      <c r="K4" s="261"/>
      <c r="L4" s="149" t="s">
        <v>224</v>
      </c>
    </row>
    <row r="5" spans="1:12" s="232" customFormat="1" ht="20.25" x14ac:dyDescent="0.2">
      <c r="B5" s="233"/>
      <c r="C5" s="234"/>
      <c r="D5" s="235"/>
      <c r="E5" s="235"/>
      <c r="H5" s="297"/>
      <c r="I5" s="261"/>
      <c r="J5" s="261"/>
      <c r="K5" s="261"/>
      <c r="L5" s="149"/>
    </row>
    <row r="6" spans="1:12" s="233" customFormat="1" ht="20.100000000000001" customHeight="1" x14ac:dyDescent="0.2">
      <c r="B6" s="345" t="s">
        <v>323</v>
      </c>
      <c r="C6" s="346"/>
      <c r="D6" s="347"/>
      <c r="E6" s="347"/>
      <c r="F6" s="348"/>
      <c r="G6" s="348"/>
      <c r="H6" s="349"/>
      <c r="I6" s="262"/>
      <c r="J6" s="262"/>
      <c r="K6" s="262"/>
      <c r="L6" s="241"/>
    </row>
    <row r="7" spans="1:12" s="221" customFormat="1" ht="15.95" customHeight="1" x14ac:dyDescent="0.2">
      <c r="B7" s="236"/>
      <c r="C7" s="237"/>
      <c r="D7" s="354" t="str">
        <f>IF(D8="","Pflichtfeld:","")</f>
        <v>Pflichtfeld:</v>
      </c>
      <c r="E7" s="384" t="str">
        <f>IF(Dropdownfelder!A63=1,"Auswahl treffen!","")</f>
        <v>Auswahl treffen!</v>
      </c>
      <c r="H7" s="298"/>
      <c r="I7" s="263"/>
      <c r="J7" s="263"/>
      <c r="K7" s="263"/>
      <c r="L7" s="287"/>
    </row>
    <row r="8" spans="1:12" ht="15.95" customHeight="1" x14ac:dyDescent="0.2">
      <c r="B8" s="242" t="s">
        <v>283</v>
      </c>
      <c r="D8" s="274"/>
      <c r="E8" s="244" t="str">
        <f>VLOOKUP(Dropdownfelder!A63,Dropdownfelder!A64:B66,2,FALSE)</f>
        <v>Bitte wählen…</v>
      </c>
      <c r="I8" s="264"/>
      <c r="J8" s="264"/>
      <c r="K8" s="264"/>
      <c r="L8" s="446" t="s">
        <v>326</v>
      </c>
    </row>
    <row r="9" spans="1:12" ht="15.95" customHeight="1" x14ac:dyDescent="0.2">
      <c r="B9" s="242" t="str">
        <f>"Die sich daraus ergebende Kostenbeitragsfestsetzung ist " &amp; IF(Dropdownfelder!A63&lt;3,"vorläufig","endgültig")&amp;"."</f>
        <v>Die sich daraus ergebende Kostenbeitragsfestsetzung ist vorläufig.</v>
      </c>
      <c r="C9" s="243"/>
      <c r="D9" s="244"/>
      <c r="E9" s="244"/>
      <c r="I9" s="264"/>
      <c r="J9" s="264"/>
      <c r="K9" s="264"/>
      <c r="L9" s="446"/>
    </row>
    <row r="10" spans="1:12" s="221" customFormat="1" ht="15.95" customHeight="1" x14ac:dyDescent="0.2">
      <c r="B10" s="236"/>
      <c r="C10" s="245"/>
      <c r="D10" s="238"/>
      <c r="E10" s="238"/>
      <c r="H10" s="298"/>
      <c r="I10" s="263"/>
      <c r="J10" s="263"/>
      <c r="K10" s="263"/>
      <c r="L10" s="446"/>
    </row>
    <row r="11" spans="1:12" ht="15.95" customHeight="1" x14ac:dyDescent="0.2">
      <c r="B11" s="223" t="str">
        <f>"Bruttoeinnahmen des Wirtschaftsjahres " &amp; D8 &amp; "(§ 93 Abs. 1 SGB VIII)"</f>
        <v>Bruttoeinnahmen des Wirtschaftsjahres (§ 93 Abs. 1 SGB VIII)</v>
      </c>
      <c r="C11" s="243"/>
      <c r="E11" s="244"/>
      <c r="G11" s="445" t="s">
        <v>138</v>
      </c>
      <c r="H11" s="445"/>
      <c r="I11" s="265"/>
      <c r="J11" s="264"/>
      <c r="K11" s="265"/>
      <c r="L11" s="446"/>
    </row>
    <row r="12" spans="1:12" ht="15.95" customHeight="1" x14ac:dyDescent="0.2">
      <c r="B12" s="242" t="s">
        <v>284</v>
      </c>
      <c r="C12" s="243"/>
      <c r="E12" s="244"/>
      <c r="G12" s="276">
        <v>0</v>
      </c>
      <c r="I12" s="264"/>
      <c r="J12" s="269"/>
      <c r="K12" s="264"/>
      <c r="L12" s="288" t="str">
        <f>"s. "&amp;IF(Dropdownfelder!A63&lt;3,"vorläufige","")&amp;" Gewinnermittlung"</f>
        <v>s. vorläufige Gewinnermittlung</v>
      </c>
    </row>
    <row r="13" spans="1:12" ht="15.95" customHeight="1" x14ac:dyDescent="0.2">
      <c r="B13" s="242" t="s">
        <v>285</v>
      </c>
      <c r="C13" s="243"/>
      <c r="D13" s="244"/>
      <c r="E13" s="244"/>
      <c r="G13" s="276">
        <v>0</v>
      </c>
      <c r="H13" s="281" t="s">
        <v>162</v>
      </c>
      <c r="I13" s="266"/>
      <c r="J13" s="269"/>
      <c r="K13" s="266"/>
      <c r="L13" s="288" t="s">
        <v>286</v>
      </c>
    </row>
    <row r="14" spans="1:12" ht="15.95" customHeight="1" x14ac:dyDescent="0.2">
      <c r="B14" s="242" t="s">
        <v>287</v>
      </c>
      <c r="C14" s="243"/>
      <c r="D14" s="244"/>
      <c r="E14" s="244"/>
      <c r="G14" s="276">
        <v>0</v>
      </c>
      <c r="H14" s="281" t="s">
        <v>162</v>
      </c>
      <c r="I14" s="266"/>
      <c r="J14" s="269"/>
      <c r="K14" s="266"/>
      <c r="L14" s="288" t="s">
        <v>288</v>
      </c>
    </row>
    <row r="15" spans="1:12" ht="15.95" customHeight="1" x14ac:dyDescent="0.2">
      <c r="B15" s="275" t="s">
        <v>289</v>
      </c>
      <c r="C15" s="243"/>
      <c r="D15" s="244"/>
      <c r="E15" s="244"/>
      <c r="G15" s="276">
        <v>0</v>
      </c>
      <c r="H15" s="281" t="s">
        <v>162</v>
      </c>
      <c r="I15" s="266"/>
      <c r="J15" s="269"/>
      <c r="K15" s="266"/>
      <c r="L15" s="446" t="s">
        <v>290</v>
      </c>
    </row>
    <row r="16" spans="1:12" ht="15.95" customHeight="1" x14ac:dyDescent="0.2">
      <c r="B16" s="275" t="s">
        <v>289</v>
      </c>
      <c r="C16" s="243"/>
      <c r="D16" s="244"/>
      <c r="E16" s="244"/>
      <c r="G16" s="276">
        <v>0</v>
      </c>
      <c r="H16" s="281" t="s">
        <v>162</v>
      </c>
      <c r="I16" s="266"/>
      <c r="J16" s="269"/>
      <c r="K16" s="266"/>
      <c r="L16" s="446"/>
    </row>
    <row r="17" spans="2:12" ht="15.95" customHeight="1" x14ac:dyDescent="0.2">
      <c r="B17" s="275" t="s">
        <v>289</v>
      </c>
      <c r="C17" s="243"/>
      <c r="D17" s="244"/>
      <c r="E17" s="244"/>
      <c r="G17" s="276">
        <v>0</v>
      </c>
      <c r="H17" s="281" t="s">
        <v>162</v>
      </c>
      <c r="I17" s="266"/>
      <c r="J17" s="269"/>
      <c r="K17" s="266"/>
      <c r="L17" s="446"/>
    </row>
    <row r="18" spans="2:12" ht="15.95" customHeight="1" x14ac:dyDescent="0.2">
      <c r="B18" s="275" t="s">
        <v>289</v>
      </c>
      <c r="C18" s="243"/>
      <c r="D18" s="244"/>
      <c r="E18" s="244"/>
      <c r="G18" s="276">
        <v>0</v>
      </c>
      <c r="H18" s="281" t="s">
        <v>162</v>
      </c>
      <c r="I18" s="266"/>
      <c r="J18" s="269"/>
      <c r="K18" s="266"/>
      <c r="L18" s="288"/>
    </row>
    <row r="19" spans="2:12" ht="15.95" customHeight="1" x14ac:dyDescent="0.2">
      <c r="B19" s="243"/>
      <c r="C19" s="243"/>
      <c r="D19" s="243"/>
      <c r="E19" s="243"/>
      <c r="F19" s="243"/>
      <c r="G19" s="243"/>
      <c r="I19" s="264"/>
      <c r="J19" s="269"/>
      <c r="K19" s="264"/>
      <c r="L19" s="288"/>
    </row>
    <row r="20" spans="2:12" ht="15.95" customHeight="1" x14ac:dyDescent="0.2">
      <c r="B20" s="223" t="str">
        <f>"Steuerliche Ausgaben für das Wirtschaftsjahr " &amp; D8 &amp; "(§ 93 Abs. 2 Nr. 1 SGB VIII)"</f>
        <v>Steuerliche Ausgaben für das Wirtschaftsjahr (§ 93 Abs. 2 Nr. 1 SGB VIII)</v>
      </c>
      <c r="C20" s="243"/>
      <c r="E20" s="244"/>
      <c r="I20" s="264"/>
      <c r="J20" s="269"/>
      <c r="K20" s="264"/>
      <c r="L20" s="289"/>
    </row>
    <row r="21" spans="2:12" ht="15.95" customHeight="1" x14ac:dyDescent="0.2">
      <c r="B21" s="242" t="s">
        <v>291</v>
      </c>
      <c r="C21" s="243"/>
      <c r="D21" s="244"/>
      <c r="E21" s="244"/>
      <c r="G21" s="276">
        <v>0</v>
      </c>
      <c r="H21" s="281" t="s">
        <v>163</v>
      </c>
      <c r="I21" s="266"/>
      <c r="J21" s="269"/>
      <c r="K21" s="266"/>
      <c r="L21" s="446" t="str">
        <f>IF(Dropdownfelder!A63&lt;3,"Geschätzte Beträge oder ggf. Vorauszahlungen ","s. letzter erteilter Einkommensteuerbescheid ")&amp;"für das maßgebliche Wirtschaftsjahr " &amp;'Einkommen selbst. Tätigkeit'!D8 &amp;". Es kommt stets auf die Steuern für das maßgebliche Wirtschaftsjahr an, unabhängig davon, wann diese tatsächlich gezahlt werden."</f>
        <v>Geschätzte Beträge oder ggf. Vorauszahlungen für das maßgebliche Wirtschaftsjahr . Es kommt stets auf die Steuern für das maßgebliche Wirtschaftsjahr an, unabhängig davon, wann diese tatsächlich gezahlt werden.</v>
      </c>
    </row>
    <row r="22" spans="2:12" ht="15.95" customHeight="1" x14ac:dyDescent="0.2">
      <c r="B22" s="242" t="s">
        <v>142</v>
      </c>
      <c r="C22" s="243"/>
      <c r="D22" s="244"/>
      <c r="E22" s="244"/>
      <c r="G22" s="276">
        <v>0</v>
      </c>
      <c r="H22" s="281" t="s">
        <v>163</v>
      </c>
      <c r="I22" s="266"/>
      <c r="J22" s="269"/>
      <c r="K22" s="266"/>
      <c r="L22" s="446"/>
    </row>
    <row r="23" spans="2:12" ht="15.95" customHeight="1" x14ac:dyDescent="0.2">
      <c r="B23" s="242" t="s">
        <v>143</v>
      </c>
      <c r="C23" s="243"/>
      <c r="D23" s="244"/>
      <c r="E23" s="244"/>
      <c r="G23" s="276">
        <v>0</v>
      </c>
      <c r="H23" s="281" t="s">
        <v>163</v>
      </c>
      <c r="I23" s="266"/>
      <c r="J23" s="269"/>
      <c r="K23" s="266"/>
      <c r="L23" s="446"/>
    </row>
    <row r="24" spans="2:12" ht="15.95" customHeight="1" x14ac:dyDescent="0.2">
      <c r="B24" s="242" t="s">
        <v>292</v>
      </c>
      <c r="C24" s="243"/>
      <c r="D24" s="244"/>
      <c r="E24" s="244"/>
      <c r="G24" s="276">
        <v>0</v>
      </c>
      <c r="H24" s="281" t="s">
        <v>163</v>
      </c>
      <c r="I24" s="266"/>
      <c r="J24" s="269"/>
      <c r="K24" s="266"/>
      <c r="L24" s="446"/>
    </row>
    <row r="25" spans="2:12" ht="15.95" customHeight="1" x14ac:dyDescent="0.2">
      <c r="B25" s="242" t="s">
        <v>293</v>
      </c>
      <c r="C25" s="243"/>
      <c r="D25" s="244"/>
      <c r="E25" s="244"/>
      <c r="G25" s="276">
        <v>0</v>
      </c>
      <c r="H25" s="281" t="s">
        <v>163</v>
      </c>
      <c r="I25" s="266"/>
      <c r="J25" s="269"/>
      <c r="K25" s="266"/>
      <c r="L25" s="446"/>
    </row>
    <row r="26" spans="2:12" ht="15.95" customHeight="1" x14ac:dyDescent="0.2">
      <c r="B26" s="242"/>
      <c r="C26" s="243"/>
      <c r="D26" s="244"/>
      <c r="E26" s="244"/>
      <c r="I26" s="264"/>
      <c r="J26" s="269"/>
      <c r="K26" s="264"/>
      <c r="L26" s="288"/>
    </row>
    <row r="27" spans="2:12" ht="15.95" customHeight="1" x14ac:dyDescent="0.2">
      <c r="B27" s="223" t="str">
        <f>"Versicherungs-/Versorgungsausgaben des Wirtschaftsjahres " &amp; D8 &amp; "(§ 93 Abs. 2 Nr. 3 SGB VIII)"</f>
        <v>Versicherungs-/Versorgungsausgaben des Wirtschaftsjahres (§ 93 Abs. 2 Nr. 3 SGB VIII)</v>
      </c>
      <c r="C27" s="243"/>
      <c r="E27" s="244"/>
      <c r="I27" s="264"/>
      <c r="J27" s="269"/>
      <c r="K27" s="264"/>
      <c r="L27" s="289"/>
    </row>
    <row r="28" spans="2:12" ht="15.95" customHeight="1" x14ac:dyDescent="0.2">
      <c r="B28" s="242" t="s">
        <v>294</v>
      </c>
      <c r="C28" s="243"/>
      <c r="D28" s="244"/>
      <c r="E28" s="244"/>
      <c r="I28" s="264"/>
      <c r="J28" s="269"/>
      <c r="K28" s="264"/>
      <c r="L28" s="288"/>
    </row>
    <row r="29" spans="2:12" ht="15.95" customHeight="1" x14ac:dyDescent="0.2">
      <c r="B29" s="242" t="s">
        <v>295</v>
      </c>
      <c r="C29" s="243"/>
      <c r="D29" s="244"/>
      <c r="E29" s="244"/>
      <c r="I29" s="264"/>
      <c r="J29" s="269"/>
      <c r="K29" s="264"/>
      <c r="L29" s="288"/>
    </row>
    <row r="30" spans="2:12" ht="15.95" customHeight="1" x14ac:dyDescent="0.2">
      <c r="B30" s="248" t="s">
        <v>296</v>
      </c>
      <c r="C30" s="243"/>
      <c r="D30" s="244"/>
      <c r="E30" s="244"/>
      <c r="G30" s="276">
        <v>0</v>
      </c>
      <c r="H30" s="281" t="s">
        <v>163</v>
      </c>
      <c r="I30" s="266"/>
      <c r="J30" s="269"/>
      <c r="K30" s="266"/>
      <c r="L30" s="446" t="s">
        <v>297</v>
      </c>
    </row>
    <row r="31" spans="2:12" ht="15.95" customHeight="1" x14ac:dyDescent="0.2">
      <c r="B31" s="248" t="s">
        <v>298</v>
      </c>
      <c r="C31" s="243"/>
      <c r="D31" s="244"/>
      <c r="E31" s="244"/>
      <c r="G31" s="276">
        <v>0</v>
      </c>
      <c r="H31" s="281" t="s">
        <v>163</v>
      </c>
      <c r="I31" s="266"/>
      <c r="J31" s="269"/>
      <c r="K31" s="266"/>
      <c r="L31" s="446"/>
    </row>
    <row r="32" spans="2:12" ht="15.95" customHeight="1" x14ac:dyDescent="0.2">
      <c r="B32" s="248" t="s">
        <v>299</v>
      </c>
      <c r="C32" s="243"/>
      <c r="D32" s="244"/>
      <c r="E32" s="244"/>
      <c r="G32" s="276">
        <v>0</v>
      </c>
      <c r="H32" s="281" t="s">
        <v>163</v>
      </c>
      <c r="I32" s="266"/>
      <c r="J32" s="269"/>
      <c r="K32" s="266"/>
      <c r="L32" s="446"/>
    </row>
    <row r="33" spans="2:12" ht="15.95" customHeight="1" x14ac:dyDescent="0.2">
      <c r="B33" s="248" t="s">
        <v>300</v>
      </c>
      <c r="C33" s="243"/>
      <c r="D33" s="244"/>
      <c r="E33" s="244"/>
      <c r="G33" s="276">
        <v>0</v>
      </c>
      <c r="H33" s="281" t="s">
        <v>163</v>
      </c>
      <c r="I33" s="266"/>
      <c r="J33" s="269"/>
      <c r="K33" s="266"/>
      <c r="L33" s="446"/>
    </row>
    <row r="34" spans="2:12" ht="15.95" customHeight="1" x14ac:dyDescent="0.2">
      <c r="B34" s="248" t="s">
        <v>301</v>
      </c>
      <c r="C34" s="243"/>
      <c r="D34" s="244"/>
      <c r="E34" s="244"/>
      <c r="G34" s="277">
        <v>0</v>
      </c>
      <c r="H34" s="299" t="s">
        <v>163</v>
      </c>
      <c r="I34" s="266"/>
      <c r="J34" s="269"/>
      <c r="K34" s="266"/>
      <c r="L34" s="446"/>
    </row>
    <row r="35" spans="2:12" ht="3.95" customHeight="1" x14ac:dyDescent="0.2">
      <c r="B35" s="248"/>
      <c r="C35" s="243"/>
      <c r="D35" s="244"/>
      <c r="E35" s="244"/>
      <c r="G35" s="252"/>
      <c r="H35" s="281"/>
      <c r="I35" s="266"/>
      <c r="J35" s="269"/>
      <c r="K35" s="266"/>
      <c r="L35" s="288"/>
    </row>
    <row r="36" spans="2:12" s="223" customFormat="1" ht="15.95" customHeight="1" x14ac:dyDescent="0.2">
      <c r="B36" s="249" t="str">
        <f>"Verbleibendes Jahreseinkommen des Wirtschaftsjahres " &amp;D8</f>
        <v xml:space="preserve">Verbleibendes Jahreseinkommen des Wirtschaftsjahres </v>
      </c>
      <c r="C36" s="250"/>
      <c r="D36" s="251"/>
      <c r="E36" s="251"/>
      <c r="G36" s="252">
        <f>SUM(G12:G18)-SUM(G21:G25)-SUM(G30:G34)</f>
        <v>0</v>
      </c>
      <c r="H36" s="281"/>
      <c r="I36" s="267"/>
      <c r="J36" s="268"/>
      <c r="K36" s="267"/>
      <c r="L36" s="290"/>
    </row>
    <row r="37" spans="2:12" ht="15.95" customHeight="1" x14ac:dyDescent="0.2">
      <c r="B37" s="248"/>
      <c r="C37" s="243"/>
      <c r="D37" s="244"/>
      <c r="E37" s="244"/>
      <c r="H37" s="281"/>
      <c r="I37" s="268"/>
      <c r="J37" s="264"/>
      <c r="K37" s="268"/>
      <c r="L37" s="288"/>
    </row>
    <row r="38" spans="2:12" ht="15.95" customHeight="1" x14ac:dyDescent="0.2">
      <c r="B38" s="249" t="str">
        <f>"Notwendige Betriebsausgaben des Wirtschaftsjahres " &amp; D8</f>
        <v xml:space="preserve">Notwendige Betriebsausgaben des Wirtschaftsjahres </v>
      </c>
      <c r="C38" s="243"/>
      <c r="D38" s="244"/>
      <c r="E38" s="244"/>
      <c r="H38" s="281"/>
      <c r="I38" s="268"/>
      <c r="J38" s="264"/>
      <c r="K38" s="268"/>
      <c r="L38" s="288"/>
    </row>
    <row r="39" spans="2:12" ht="15.95" customHeight="1" x14ac:dyDescent="0.2">
      <c r="B39" s="275" t="s">
        <v>302</v>
      </c>
      <c r="C39" s="243"/>
      <c r="D39" s="278">
        <v>0</v>
      </c>
      <c r="E39" s="244"/>
      <c r="H39" s="281"/>
      <c r="I39" s="268"/>
      <c r="J39" s="264"/>
      <c r="K39" s="268"/>
      <c r="L39" s="288"/>
    </row>
    <row r="40" spans="2:12" ht="15.95" customHeight="1" x14ac:dyDescent="0.2">
      <c r="B40" s="275" t="s">
        <v>302</v>
      </c>
      <c r="C40" s="243"/>
      <c r="D40" s="278">
        <v>0</v>
      </c>
      <c r="E40" s="244" t="s">
        <v>162</v>
      </c>
      <c r="H40" s="281"/>
      <c r="I40" s="268"/>
      <c r="J40" s="264"/>
      <c r="K40" s="268"/>
      <c r="L40" s="288"/>
    </row>
    <row r="41" spans="2:12" ht="15.95" customHeight="1" x14ac:dyDescent="0.2">
      <c r="B41" s="275" t="s">
        <v>302</v>
      </c>
      <c r="C41" s="243"/>
      <c r="D41" s="278">
        <v>0</v>
      </c>
      <c r="E41" s="244" t="s">
        <v>162</v>
      </c>
      <c r="H41" s="281"/>
      <c r="I41" s="268"/>
      <c r="J41" s="264"/>
      <c r="K41" s="268"/>
      <c r="L41" s="288"/>
    </row>
    <row r="42" spans="2:12" ht="15.95" customHeight="1" x14ac:dyDescent="0.2">
      <c r="B42" s="275" t="s">
        <v>302</v>
      </c>
      <c r="C42" s="243"/>
      <c r="D42" s="279">
        <v>0</v>
      </c>
      <c r="E42" s="253" t="s">
        <v>162</v>
      </c>
      <c r="H42" s="281"/>
      <c r="I42" s="268"/>
      <c r="J42" s="264"/>
      <c r="K42" s="268"/>
      <c r="L42" s="288"/>
    </row>
    <row r="43" spans="2:12" ht="3.95" customHeight="1" x14ac:dyDescent="0.2">
      <c r="B43" s="304"/>
      <c r="C43" s="243"/>
      <c r="D43" s="305"/>
      <c r="E43" s="244"/>
      <c r="H43" s="281"/>
      <c r="I43" s="268"/>
      <c r="J43" s="264"/>
      <c r="K43" s="268"/>
      <c r="L43" s="288"/>
    </row>
    <row r="44" spans="2:12" ht="15.95" customHeight="1" x14ac:dyDescent="0.2">
      <c r="B44" s="249" t="s">
        <v>303</v>
      </c>
      <c r="C44" s="250"/>
      <c r="D44" s="254">
        <f>SUM(D39:D42)</f>
        <v>0</v>
      </c>
      <c r="E44" s="244"/>
      <c r="H44" s="281"/>
      <c r="I44" s="268"/>
      <c r="J44" s="264"/>
      <c r="K44" s="268"/>
      <c r="L44" s="288"/>
    </row>
    <row r="45" spans="2:12" ht="15.95" customHeight="1" x14ac:dyDescent="0.2">
      <c r="B45" s="249"/>
      <c r="C45" s="250"/>
      <c r="D45" s="254"/>
      <c r="E45" s="244"/>
      <c r="H45" s="281"/>
      <c r="I45" s="268"/>
      <c r="J45" s="264"/>
      <c r="K45" s="268"/>
      <c r="L45" s="288"/>
    </row>
    <row r="46" spans="2:12" ht="15.95" customHeight="1" x14ac:dyDescent="0.2">
      <c r="B46" s="242" t="str">
        <f>"Pauschal 25 % von " &amp;G36 &amp; IF(  G36=ROUND(  G36,0),",00",IF(  G36 =ROUND( G36,1),"0","")) &amp; " €"</f>
        <v>Pauschal 25 % von 0,00 €</v>
      </c>
      <c r="C46" s="243"/>
      <c r="D46" s="252">
        <f>25%*G36</f>
        <v>0</v>
      </c>
      <c r="E46" s="244"/>
      <c r="H46" s="281"/>
      <c r="I46" s="268"/>
      <c r="J46" s="264"/>
      <c r="K46" s="268"/>
      <c r="L46" s="288"/>
    </row>
    <row r="47" spans="2:12" ht="15.95" customHeight="1" x14ac:dyDescent="0.2">
      <c r="B47" s="242" t="str">
        <f>"Höherer Betrag (" &amp;D46 &amp; IF(D46=ROUND(D46,0),",00",IF(D46=ROUND(D46,1),"0","")) &amp; " € / " &amp;D44 &amp; IF(D44=ROUND(D44,0),",00",IF(D44=ROUND(D44,1),"0","")) &amp; " €)"</f>
        <v>Höherer Betrag (0,00 € / 0,00 €)</v>
      </c>
      <c r="C47" s="243"/>
      <c r="D47" s="252">
        <f>IF(D44&gt;D46,D44,D46)</f>
        <v>0</v>
      </c>
      <c r="E47" s="244"/>
      <c r="G47" s="255">
        <f>D47</f>
        <v>0</v>
      </c>
      <c r="H47" s="299" t="s">
        <v>163</v>
      </c>
      <c r="I47" s="268"/>
      <c r="J47" s="264"/>
      <c r="K47" s="268"/>
      <c r="L47" s="288"/>
    </row>
    <row r="48" spans="2:12" ht="3.95" customHeight="1" x14ac:dyDescent="0.2">
      <c r="B48" s="242"/>
      <c r="C48" s="243"/>
      <c r="D48" s="252"/>
      <c r="E48" s="244"/>
      <c r="G48" s="256"/>
      <c r="H48" s="281"/>
      <c r="I48" s="268"/>
      <c r="J48" s="264"/>
      <c r="K48" s="268"/>
      <c r="L48" s="288"/>
    </row>
    <row r="49" spans="2:24" s="223" customFormat="1" ht="15.95" customHeight="1" x14ac:dyDescent="0.2">
      <c r="B49" s="249" t="s">
        <v>304</v>
      </c>
      <c r="C49" s="250"/>
      <c r="D49" s="251"/>
      <c r="E49" s="251"/>
      <c r="G49" s="257">
        <f>G36-G47</f>
        <v>0</v>
      </c>
      <c r="H49" s="281"/>
      <c r="I49" s="268"/>
      <c r="J49" s="268"/>
      <c r="K49" s="268"/>
      <c r="L49" s="290"/>
    </row>
    <row r="50" spans="2:24" ht="15.95" customHeight="1" x14ac:dyDescent="0.2">
      <c r="B50" s="248"/>
      <c r="C50" s="243"/>
      <c r="D50" s="244"/>
      <c r="E50" s="244"/>
      <c r="H50" s="281"/>
      <c r="I50" s="268"/>
      <c r="J50" s="264"/>
      <c r="K50" s="268"/>
      <c r="L50" s="288"/>
    </row>
    <row r="51" spans="2:24" ht="15.95" customHeight="1" x14ac:dyDescent="0.2">
      <c r="B51" s="242" t="s">
        <v>305</v>
      </c>
      <c r="C51" s="243"/>
      <c r="D51" s="252">
        <f>G49</f>
        <v>0</v>
      </c>
      <c r="E51" s="222"/>
      <c r="I51" s="269"/>
      <c r="J51" s="264"/>
      <c r="K51" s="269"/>
      <c r="L51" s="449" t="s">
        <v>327</v>
      </c>
    </row>
    <row r="52" spans="2:24" ht="15.95" customHeight="1" x14ac:dyDescent="0.2">
      <c r="B52" s="242" t="s">
        <v>306</v>
      </c>
      <c r="C52" s="243"/>
      <c r="D52" s="273">
        <v>12</v>
      </c>
      <c r="E52" s="258" t="s">
        <v>164</v>
      </c>
      <c r="F52" s="259"/>
      <c r="H52" s="300"/>
      <c r="I52" s="270"/>
      <c r="J52" s="264"/>
      <c r="K52" s="270"/>
      <c r="L52" s="446"/>
    </row>
    <row r="53" spans="2:24" ht="3.95" customHeight="1" x14ac:dyDescent="0.2">
      <c r="B53" s="242"/>
      <c r="C53" s="243"/>
      <c r="D53" s="303"/>
      <c r="E53" s="251"/>
      <c r="F53" s="259"/>
      <c r="H53" s="300"/>
      <c r="I53" s="270"/>
      <c r="J53" s="264"/>
      <c r="K53" s="270"/>
      <c r="L53" s="446"/>
    </row>
    <row r="54" spans="2:24" ht="15.95" customHeight="1" x14ac:dyDescent="0.2">
      <c r="B54" s="242"/>
      <c r="C54" s="243"/>
      <c r="D54" s="252">
        <f>IF(D52&gt;0,D51/D52,0)</f>
        <v>0</v>
      </c>
      <c r="E54" s="251"/>
      <c r="F54" s="259"/>
      <c r="H54" s="300"/>
      <c r="I54" s="270"/>
      <c r="J54" s="264"/>
      <c r="K54" s="270"/>
      <c r="L54" s="446"/>
    </row>
    <row r="55" spans="2:24" ht="8.1" customHeight="1" x14ac:dyDescent="0.2">
      <c r="B55" s="242"/>
      <c r="C55" s="243"/>
      <c r="D55" s="259"/>
      <c r="E55" s="251"/>
      <c r="F55" s="259"/>
      <c r="H55" s="300"/>
      <c r="I55" s="270"/>
      <c r="J55" s="264"/>
      <c r="K55" s="270"/>
      <c r="L55" s="446"/>
    </row>
    <row r="56" spans="2:24" ht="15.95" customHeight="1" x14ac:dyDescent="0.2">
      <c r="B56" s="223" t="s">
        <v>307</v>
      </c>
      <c r="C56" s="243"/>
      <c r="D56" s="238"/>
      <c r="E56" s="244"/>
      <c r="G56" s="260">
        <f>IF(D54&lt;0,0,D54)</f>
        <v>0</v>
      </c>
      <c r="I56" s="269"/>
      <c r="J56" s="264"/>
      <c r="K56" s="269"/>
      <c r="L56" s="446" t="s">
        <v>331</v>
      </c>
    </row>
    <row r="57" spans="2:24" ht="15.95" customHeight="1" x14ac:dyDescent="0.2">
      <c r="B57" s="221" t="s">
        <v>308</v>
      </c>
      <c r="C57" s="243"/>
      <c r="D57" s="238"/>
      <c r="E57" s="244"/>
      <c r="H57" s="301"/>
      <c r="I57" s="271"/>
      <c r="J57" s="264"/>
      <c r="K57" s="271"/>
      <c r="L57" s="446"/>
    </row>
    <row r="58" spans="2:24" ht="15.95" customHeight="1" x14ac:dyDescent="0.2">
      <c r="B58" s="240"/>
      <c r="E58" s="222"/>
      <c r="F58" s="244"/>
      <c r="H58" s="302"/>
      <c r="I58" s="272"/>
      <c r="J58" s="264"/>
      <c r="K58" s="272"/>
      <c r="L58" s="446"/>
    </row>
    <row r="59" spans="2:24" s="239" customFormat="1" ht="20.100000000000001" customHeight="1" x14ac:dyDescent="0.2">
      <c r="B59" s="447" t="s">
        <v>325</v>
      </c>
      <c r="C59" s="447"/>
      <c r="D59" s="447"/>
      <c r="E59" s="447"/>
      <c r="F59" s="447"/>
      <c r="G59" s="447"/>
      <c r="H59" s="447"/>
      <c r="I59" s="292"/>
      <c r="J59" s="292"/>
      <c r="K59" s="292"/>
      <c r="L59" s="309" t="s">
        <v>277</v>
      </c>
      <c r="M59" s="291"/>
      <c r="N59" s="291"/>
      <c r="O59" s="291"/>
      <c r="P59" s="291"/>
      <c r="Q59" s="291"/>
      <c r="R59" s="291"/>
      <c r="S59" s="291"/>
      <c r="T59" s="291"/>
      <c r="U59" s="291"/>
      <c r="V59" s="291"/>
      <c r="W59" s="291"/>
      <c r="X59" s="291"/>
    </row>
    <row r="60" spans="2:24" ht="15.95" customHeight="1" x14ac:dyDescent="0.2">
      <c r="B60" s="280" t="s">
        <v>309</v>
      </c>
      <c r="I60" s="264"/>
      <c r="J60" s="269"/>
      <c r="K60" s="264"/>
      <c r="L60" s="293"/>
    </row>
    <row r="61" spans="2:24" ht="15.95" customHeight="1" x14ac:dyDescent="0.2">
      <c r="I61" s="264"/>
      <c r="J61" s="269"/>
      <c r="K61" s="264"/>
      <c r="L61" s="448" t="s">
        <v>328</v>
      </c>
    </row>
    <row r="62" spans="2:24" ht="15.95" customHeight="1" x14ac:dyDescent="0.2">
      <c r="B62" s="223" t="str">
        <f>"Nettoeinnahmen der Wirtschaftsjahre " &amp; D58 &amp; " (§ 93 Abs. 1 SGB VIII)"</f>
        <v>Nettoeinnahmen der Wirtschaftsjahre  (§ 93 Abs. 1 SGB VIII)</v>
      </c>
      <c r="C62" s="243"/>
      <c r="E62" s="222"/>
      <c r="F62" s="281"/>
      <c r="G62" s="445" t="s">
        <v>138</v>
      </c>
      <c r="H62" s="445"/>
      <c r="I62" s="265"/>
      <c r="J62" s="269"/>
      <c r="K62" s="265"/>
      <c r="L62" s="448"/>
    </row>
    <row r="63" spans="2:24" ht="15.95" customHeight="1" x14ac:dyDescent="0.2">
      <c r="B63" s="223"/>
      <c r="C63" s="243"/>
      <c r="E63" s="222"/>
      <c r="F63" s="281"/>
      <c r="G63" s="247"/>
      <c r="I63" s="264"/>
      <c r="J63" s="269"/>
      <c r="K63" s="264"/>
      <c r="L63" s="293"/>
    </row>
    <row r="64" spans="2:24" ht="15.95" customHeight="1" x14ac:dyDescent="0.2">
      <c r="B64" s="222" t="s">
        <v>310</v>
      </c>
      <c r="C64" s="224" t="s">
        <v>311</v>
      </c>
      <c r="E64" s="282" t="s">
        <v>306</v>
      </c>
      <c r="G64" s="247"/>
      <c r="I64" s="264"/>
      <c r="J64" s="269"/>
      <c r="K64" s="264"/>
      <c r="L64" s="294"/>
    </row>
    <row r="65" spans="2:12" ht="15.95" customHeight="1" x14ac:dyDescent="0.2">
      <c r="B65" s="242" t="s">
        <v>312</v>
      </c>
      <c r="C65" s="295"/>
      <c r="D65" s="259" t="s">
        <v>313</v>
      </c>
      <c r="E65" s="296"/>
      <c r="F65" s="283"/>
      <c r="G65" s="276">
        <v>0</v>
      </c>
      <c r="I65" s="264"/>
      <c r="J65" s="269"/>
      <c r="K65" s="264"/>
      <c r="L65" s="448" t="s">
        <v>329</v>
      </c>
    </row>
    <row r="66" spans="2:12" ht="15.95" customHeight="1" x14ac:dyDescent="0.2">
      <c r="B66" s="242" t="s">
        <v>312</v>
      </c>
      <c r="C66" s="274"/>
      <c r="D66" s="259" t="s">
        <v>313</v>
      </c>
      <c r="E66" s="296"/>
      <c r="F66" s="283"/>
      <c r="G66" s="276">
        <v>0</v>
      </c>
      <c r="H66" s="281" t="s">
        <v>162</v>
      </c>
      <c r="I66" s="266"/>
      <c r="J66" s="269"/>
      <c r="K66" s="266"/>
      <c r="L66" s="448"/>
    </row>
    <row r="67" spans="2:12" ht="15.95" customHeight="1" x14ac:dyDescent="0.2">
      <c r="B67" s="242" t="s">
        <v>312</v>
      </c>
      <c r="C67" s="274"/>
      <c r="D67" s="259" t="s">
        <v>313</v>
      </c>
      <c r="E67" s="296"/>
      <c r="F67" s="283"/>
      <c r="G67" s="277">
        <v>0</v>
      </c>
      <c r="H67" s="299" t="s">
        <v>162</v>
      </c>
      <c r="I67" s="266"/>
      <c r="J67" s="269"/>
      <c r="K67" s="266"/>
      <c r="L67" s="448"/>
    </row>
    <row r="68" spans="2:12" ht="3.95" customHeight="1" x14ac:dyDescent="0.2">
      <c r="B68" s="242"/>
      <c r="C68" s="306"/>
      <c r="D68" s="259"/>
      <c r="E68" s="303"/>
      <c r="F68" s="283"/>
      <c r="G68" s="307"/>
      <c r="H68" s="281"/>
      <c r="I68" s="266"/>
      <c r="J68" s="269"/>
      <c r="K68" s="266"/>
      <c r="L68" s="448"/>
    </row>
    <row r="69" spans="2:12" ht="15.95" customHeight="1" x14ac:dyDescent="0.2">
      <c r="B69" s="248"/>
      <c r="C69" s="243"/>
      <c r="D69" s="244"/>
      <c r="E69" s="244"/>
      <c r="G69" s="252">
        <f>IF(AND(E65&gt;0,G65&lt;&gt;0)=TRUE,G65,0)+IF(AND(E66&gt;0,G66&lt;&gt;0)=TRUE,G66,0)+IF(AND(E67&gt;0,G67&lt;&gt;0)=TRUE,G67,0)</f>
        <v>0</v>
      </c>
      <c r="I69" s="264"/>
      <c r="J69" s="269"/>
      <c r="K69" s="264"/>
      <c r="L69" s="448"/>
    </row>
    <row r="70" spans="2:12" ht="15.95" customHeight="1" x14ac:dyDescent="0.2">
      <c r="B70" s="248"/>
      <c r="C70" s="243"/>
      <c r="D70" s="244"/>
      <c r="E70" s="244"/>
      <c r="H70" s="281"/>
      <c r="I70" s="268"/>
      <c r="J70" s="264"/>
      <c r="K70" s="268"/>
      <c r="L70" s="448"/>
    </row>
    <row r="71" spans="2:12" ht="15.95" customHeight="1" x14ac:dyDescent="0.2">
      <c r="B71" s="242" t="s">
        <v>305</v>
      </c>
      <c r="D71" s="252" t="str">
        <f>G69&amp;IF(G69=ROUND(G69,0),",00 €",IF(G69=ROUND(G69,1),"0 €"," €"))</f>
        <v>0,00 €</v>
      </c>
      <c r="E71" s="222"/>
      <c r="I71" s="269"/>
      <c r="J71" s="264"/>
      <c r="K71" s="269"/>
      <c r="L71" s="293"/>
    </row>
    <row r="72" spans="2:12" ht="15.95" customHeight="1" x14ac:dyDescent="0.2">
      <c r="B72" s="242" t="s">
        <v>306</v>
      </c>
      <c r="D72" s="273">
        <f>IF(AND(E65&gt;0,G65&lt;&gt;0)=TRUE,E65,0)+IF(AND(E66&gt;0,G66&lt;&gt;0)=TRUE,E66,0)+IF(AND(E67&gt;0,G67&lt;&gt;0)=TRUE,E67,0)</f>
        <v>0</v>
      </c>
      <c r="E72" s="284" t="s">
        <v>164</v>
      </c>
      <c r="F72" s="259"/>
      <c r="H72" s="300"/>
      <c r="I72" s="270"/>
      <c r="J72" s="264"/>
      <c r="K72" s="270"/>
      <c r="L72" s="293"/>
    </row>
    <row r="73" spans="2:12" ht="3.95" customHeight="1" x14ac:dyDescent="0.2">
      <c r="B73" s="242"/>
      <c r="D73" s="303"/>
      <c r="E73" s="246"/>
      <c r="F73" s="259"/>
      <c r="H73" s="300"/>
      <c r="I73" s="270"/>
      <c r="J73" s="264"/>
      <c r="K73" s="270"/>
      <c r="L73" s="293"/>
    </row>
    <row r="74" spans="2:12" ht="15.95" customHeight="1" x14ac:dyDescent="0.2">
      <c r="B74" s="242"/>
      <c r="D74" s="252">
        <f>IF(D72&gt;0,IF(D72&lt;&gt;"",G69/D72,0),0)</f>
        <v>0</v>
      </c>
      <c r="E74" s="246"/>
      <c r="F74" s="259"/>
      <c r="H74" s="300"/>
      <c r="I74" s="270"/>
      <c r="J74" s="264"/>
      <c r="K74" s="270"/>
      <c r="L74" s="293"/>
    </row>
    <row r="75" spans="2:12" ht="15.95" customHeight="1" x14ac:dyDescent="0.2">
      <c r="B75" s="248"/>
      <c r="C75" s="243"/>
      <c r="D75" s="244"/>
      <c r="E75" s="244"/>
      <c r="I75" s="264"/>
      <c r="J75" s="264"/>
      <c r="K75" s="264"/>
      <c r="L75" s="448" t="s">
        <v>332</v>
      </c>
    </row>
    <row r="76" spans="2:12" ht="15.95" customHeight="1" x14ac:dyDescent="0.2">
      <c r="B76" s="223" t="s">
        <v>314</v>
      </c>
      <c r="C76" s="243"/>
      <c r="D76" s="238" t="s">
        <v>315</v>
      </c>
      <c r="E76" s="244"/>
      <c r="G76" s="260">
        <f>IF(D74&lt;0,0,D74)</f>
        <v>0</v>
      </c>
      <c r="I76" s="269"/>
      <c r="J76" s="264"/>
      <c r="K76" s="269"/>
      <c r="L76" s="448"/>
    </row>
    <row r="77" spans="2:12" ht="15.95" customHeight="1" x14ac:dyDescent="0.2">
      <c r="B77" s="223" t="s">
        <v>316</v>
      </c>
      <c r="C77" s="243"/>
      <c r="D77" s="238" t="s">
        <v>317</v>
      </c>
      <c r="E77" s="244"/>
      <c r="H77" s="301"/>
      <c r="I77" s="271"/>
      <c r="J77" s="264"/>
      <c r="K77" s="271"/>
      <c r="L77" s="448"/>
    </row>
    <row r="78" spans="2:12" ht="15.95" customHeight="1" x14ac:dyDescent="0.2">
      <c r="L78" s="308"/>
    </row>
  </sheetData>
  <sheetProtection sheet="1" objects="1" scenarios="1" autoFilter="0"/>
  <mergeCells count="13">
    <mergeCell ref="L75:L77"/>
    <mergeCell ref="L15:L17"/>
    <mergeCell ref="L21:L25"/>
    <mergeCell ref="L30:L34"/>
    <mergeCell ref="L51:L55"/>
    <mergeCell ref="L56:L58"/>
    <mergeCell ref="L61:L62"/>
    <mergeCell ref="L65:L70"/>
    <mergeCell ref="G11:H11"/>
    <mergeCell ref="L8:L11"/>
    <mergeCell ref="B59:H59"/>
    <mergeCell ref="J1:K1"/>
    <mergeCell ref="G62:H62"/>
  </mergeCells>
  <phoneticPr fontId="69" type="noConversion"/>
  <conditionalFormatting sqref="D71:D73 G65:G68 G30:G34 G21:G25 D39:D43 G12:G18">
    <cfRule type="cellIs" dxfId="28" priority="1" stopIfTrue="1" operator="equal">
      <formula>0</formula>
    </cfRule>
  </conditionalFormatting>
  <conditionalFormatting sqref="D52:D53">
    <cfRule type="cellIs" dxfId="27" priority="2" stopIfTrue="1" operator="lessThan">
      <formula>1</formula>
    </cfRule>
  </conditionalFormatting>
  <conditionalFormatting sqref="B39:B43">
    <cfRule type="cellIs" dxfId="26" priority="3" stopIfTrue="1" operator="equal">
      <formula>"Betriebliche Ausgaben"</formula>
    </cfRule>
    <cfRule type="cellIs" dxfId="25" priority="4" stopIfTrue="1" operator="equal">
      <formula>"Betriebliche Ausgaben"</formula>
    </cfRule>
  </conditionalFormatting>
  <conditionalFormatting sqref="B15:B18">
    <cfRule type="cellIs" dxfId="24" priority="5" stopIfTrue="1" operator="equal">
      <formula>"Sonstige betriebliche Einnahmen"</formula>
    </cfRule>
  </conditionalFormatting>
  <dataValidations count="1">
    <dataValidation allowBlank="1" showInputMessage="1" promptTitle="Pflichtfeld" prompt="Sie müssen ein Wirtschaftsjahr eintragen und eine Auswahl vornehmen." sqref="D8" xr:uid="{00000000-0002-0000-0100-000000000000}"/>
  </dataValidations>
  <hyperlinks>
    <hyperlink ref="C1" r:id="rId1" xr:uid="{00000000-0004-0000-0100-000000000000}"/>
  </hyperlinks>
  <pageMargins left="0.78740157480314965" right="0.39370078740157483" top="0.59055118110236227" bottom="0.59055118110236227" header="0.39370078740157483" footer="0.39370078740157483"/>
  <pageSetup paperSize="9" scale="80" orientation="portrait" blackAndWhite="1" r:id="rId2"/>
  <headerFooter alignWithMargins="0">
    <oddFooter>&amp;R&amp;8&amp;F
&amp;A
Seite &amp;P</oddFooter>
  </headerFooter>
  <rowBreaks count="1" manualBreakCount="1">
    <brk id="5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3073" r:id="rId5" name="Drop Down 1">
              <controlPr defaultSize="0" print="0" autoLine="0" autoPict="0">
                <anchor moveWithCells="1">
                  <from>
                    <xdr:col>4</xdr:col>
                    <xdr:colOff>0</xdr:colOff>
                    <xdr:row>7</xdr:row>
                    <xdr:rowOff>0</xdr:rowOff>
                  </from>
                  <to>
                    <xdr:col>6</xdr:col>
                    <xdr:colOff>1009650</xdr:colOff>
                    <xdr:row>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Z168"/>
  <sheetViews>
    <sheetView showGridLines="0" showRowColHeaders="0" workbookViewId="0">
      <pane ySplit="3" topLeftCell="A4" activePane="bottomLeft" state="frozenSplit"/>
      <selection activeCell="K9" sqref="K9:W9"/>
      <selection pane="bottomLeft" activeCell="K9" sqref="K9:M9"/>
    </sheetView>
  </sheetViews>
  <sheetFormatPr baseColWidth="10" defaultColWidth="0" defaultRowHeight="15.95" customHeight="1" x14ac:dyDescent="0.2"/>
  <cols>
    <col min="1" max="1" width="4.7109375" style="174" customWidth="1"/>
    <col min="2" max="3" width="5.7109375" style="174" customWidth="1"/>
    <col min="4" max="8" width="4.7109375" style="174" customWidth="1"/>
    <col min="9" max="9" width="5.7109375" style="174" customWidth="1"/>
    <col min="10" max="18" width="4.7109375" style="174" customWidth="1"/>
    <col min="19" max="20" width="3.7109375" style="174" customWidth="1"/>
    <col min="21" max="23" width="4.7109375" style="174" customWidth="1"/>
    <col min="24" max="24" width="3.7109375" style="176" customWidth="1"/>
    <col min="25" max="25" width="4.7109375" style="174" customWidth="1"/>
    <col min="26" max="26" width="58.7109375" style="315" customWidth="1"/>
    <col min="27" max="16384" width="0" style="174" hidden="1"/>
  </cols>
  <sheetData>
    <row r="1" spans="1:26" s="317" customFormat="1" ht="21.75" customHeight="1" x14ac:dyDescent="0.2">
      <c r="A1" s="103"/>
      <c r="B1" s="50" t="s">
        <v>131</v>
      </c>
      <c r="C1" s="50"/>
      <c r="D1" s="50"/>
      <c r="E1" s="50"/>
      <c r="F1" s="50"/>
      <c r="G1" s="50"/>
      <c r="H1" s="50"/>
      <c r="I1" s="50"/>
      <c r="J1" s="50"/>
      <c r="K1" s="438" t="s">
        <v>132</v>
      </c>
      <c r="L1" s="438"/>
      <c r="M1" s="438"/>
      <c r="N1" s="438"/>
      <c r="O1" s="50"/>
      <c r="P1" s="50"/>
      <c r="Q1" s="106" t="s">
        <v>134</v>
      </c>
      <c r="R1" s="439">
        <f>Hauptberechnung!R1</f>
        <v>42370</v>
      </c>
      <c r="S1" s="439"/>
      <c r="T1" s="50"/>
      <c r="U1" s="51" t="s">
        <v>133</v>
      </c>
      <c r="V1" s="439">
        <f>Hauptberechnung!V1</f>
        <v>43159</v>
      </c>
      <c r="W1" s="440"/>
      <c r="X1" s="52"/>
      <c r="Y1" s="50"/>
      <c r="Z1" s="216" t="s">
        <v>206</v>
      </c>
    </row>
    <row r="2" spans="1:26" s="53" customFormat="1" ht="12" x14ac:dyDescent="0.2">
      <c r="B2" s="159" t="str">
        <f>"Anlage zur Kostenbeitragsberechnung "&amp;NameJM&amp;" / "&amp;NamePflichtiger&amp;" für die Zeit ab "&amp;(DAY(KBZeitraumVon)&amp;"."&amp;MONTH(KBZeitraumVon)&amp;"."&amp;YEAR(KBZeitraumVon))</f>
        <v>Anlage zur Kostenbeitragsberechnung Name JM / Name Pflichtige/r für die Zeit ab 0.1.1900</v>
      </c>
      <c r="N2" s="54"/>
      <c r="X2" s="54"/>
      <c r="Y2" s="145"/>
      <c r="Z2" s="212"/>
    </row>
    <row r="3" spans="1:26" s="56" customFormat="1" ht="32.1" customHeight="1" x14ac:dyDescent="0.2">
      <c r="B3" s="55"/>
      <c r="N3" s="57"/>
      <c r="X3" s="57"/>
      <c r="Y3" s="147"/>
      <c r="Z3" s="212"/>
    </row>
    <row r="4" spans="1:26" s="164" customFormat="1" ht="20.25" x14ac:dyDescent="0.2">
      <c r="B4" s="165" t="s">
        <v>280</v>
      </c>
      <c r="C4" s="166"/>
      <c r="D4" s="166"/>
      <c r="E4" s="166"/>
      <c r="F4" s="166"/>
      <c r="G4" s="166"/>
      <c r="H4" s="166"/>
      <c r="I4" s="166"/>
      <c r="J4" s="166"/>
      <c r="K4" s="166"/>
      <c r="L4" s="166"/>
      <c r="M4" s="166"/>
      <c r="N4" s="166"/>
      <c r="O4" s="166"/>
      <c r="P4" s="166"/>
      <c r="Q4" s="166"/>
      <c r="R4" s="166"/>
      <c r="S4" s="166"/>
      <c r="T4" s="166"/>
      <c r="U4" s="167"/>
      <c r="V4" s="167"/>
      <c r="W4" s="167"/>
      <c r="X4" s="168"/>
      <c r="Y4" s="161"/>
      <c r="Z4" s="536" t="s">
        <v>354</v>
      </c>
    </row>
    <row r="5" spans="1:26" s="164" customFormat="1" ht="20.100000000000001" customHeight="1" x14ac:dyDescent="0.2">
      <c r="B5" s="205" t="s">
        <v>281</v>
      </c>
      <c r="C5" s="166"/>
      <c r="D5" s="166"/>
      <c r="E5" s="166"/>
      <c r="F5" s="166"/>
      <c r="G5" s="166"/>
      <c r="H5" s="166"/>
      <c r="I5" s="166"/>
      <c r="J5" s="166"/>
      <c r="K5" s="166"/>
      <c r="L5" s="166"/>
      <c r="M5" s="166"/>
      <c r="N5" s="166"/>
      <c r="O5" s="166"/>
      <c r="P5" s="166"/>
      <c r="Q5" s="166"/>
      <c r="R5" s="166"/>
      <c r="S5" s="166"/>
      <c r="T5" s="166"/>
      <c r="U5" s="167"/>
      <c r="V5" s="167"/>
      <c r="W5" s="167"/>
      <c r="X5" s="168"/>
      <c r="Y5" s="161"/>
      <c r="Z5" s="536"/>
    </row>
    <row r="6" spans="1:26" s="169" customFormat="1" ht="15.95" customHeight="1" x14ac:dyDescent="0.2">
      <c r="U6" s="170"/>
      <c r="V6" s="170"/>
      <c r="W6" s="170"/>
      <c r="X6" s="171"/>
      <c r="Y6" s="161"/>
      <c r="Z6" s="536"/>
    </row>
    <row r="7" spans="1:26" s="68" customFormat="1" ht="20.100000000000001" customHeight="1" x14ac:dyDescent="0.2">
      <c r="B7" s="468" t="s">
        <v>257</v>
      </c>
      <c r="C7" s="468"/>
      <c r="D7" s="468"/>
      <c r="E7" s="468"/>
      <c r="F7" s="468"/>
      <c r="G7" s="468"/>
      <c r="H7" s="468"/>
      <c r="I7" s="468"/>
      <c r="J7" s="468"/>
      <c r="K7" s="468"/>
      <c r="L7" s="468"/>
      <c r="M7" s="468"/>
      <c r="N7" s="468"/>
      <c r="O7" s="468"/>
      <c r="P7" s="468"/>
      <c r="Q7" s="468"/>
      <c r="R7" s="468"/>
      <c r="S7" s="468"/>
      <c r="T7" s="468"/>
      <c r="U7" s="468"/>
      <c r="V7" s="468"/>
      <c r="W7" s="468"/>
      <c r="X7" s="468"/>
      <c r="Y7" s="150"/>
      <c r="Z7" s="536"/>
    </row>
    <row r="8" spans="1:26" s="68" customFormat="1" ht="15.95" customHeight="1" x14ac:dyDescent="0.2">
      <c r="N8" s="69"/>
      <c r="X8" s="69"/>
      <c r="Y8" s="150"/>
      <c r="Z8" s="213"/>
    </row>
    <row r="9" spans="1:26" s="75" customFormat="1" ht="15.95" customHeight="1" x14ac:dyDescent="0.2">
      <c r="B9" s="75" t="s">
        <v>256</v>
      </c>
      <c r="J9" s="218" t="str">
        <f>IF(OR(K9="",O9="")=TRUE,"Pflichtfelder &gt;&gt;&gt; ","")</f>
        <v xml:space="preserve">Pflichtfelder &gt;&gt;&gt; </v>
      </c>
      <c r="K9" s="442"/>
      <c r="L9" s="442"/>
      <c r="M9" s="442"/>
      <c r="N9" s="76" t="s">
        <v>119</v>
      </c>
      <c r="O9" s="546"/>
      <c r="P9" s="546"/>
      <c r="Q9" s="546"/>
      <c r="U9" s="163">
        <f>IF(AND(K9&lt;&gt;"",O9&lt;&gt;"",O9&gt;K9)=TRUE,DATEDIF(K9,O9,"m")+1,0)</f>
        <v>0</v>
      </c>
      <c r="V9" s="78" t="str">
        <f>"Monat" &amp; IF(AND(K9&lt;&gt;"",O9&lt;&gt;"",O9&gt;K9)=TRUE,IF((DATEDIF(K9,O9,"m")+1)&gt;1,"e",""),"")</f>
        <v>Monat</v>
      </c>
      <c r="X9" s="76"/>
      <c r="Y9" s="150"/>
      <c r="Z9" s="458" t="s">
        <v>272</v>
      </c>
    </row>
    <row r="10" spans="1:26" s="75" customFormat="1" ht="15.95" customHeight="1" x14ac:dyDescent="0.2">
      <c r="N10" s="76"/>
      <c r="X10" s="76"/>
      <c r="Y10" s="150"/>
      <c r="Z10" s="458"/>
    </row>
    <row r="11" spans="1:26" s="68" customFormat="1" ht="15.95" customHeight="1" x14ac:dyDescent="0.2">
      <c r="B11" s="64" t="s">
        <v>61</v>
      </c>
      <c r="N11" s="69"/>
      <c r="X11" s="69"/>
      <c r="Y11" s="150"/>
      <c r="Z11" s="458"/>
    </row>
    <row r="12" spans="1:26" s="68" customFormat="1" ht="8.1" customHeight="1" x14ac:dyDescent="0.2">
      <c r="N12" s="69"/>
      <c r="X12" s="69"/>
      <c r="Y12" s="150"/>
      <c r="Z12" s="213"/>
    </row>
    <row r="13" spans="1:26" s="62" customFormat="1" ht="15.95" customHeight="1" x14ac:dyDescent="0.2">
      <c r="B13" s="64" t="s">
        <v>138</v>
      </c>
      <c r="N13" s="63"/>
      <c r="Q13" s="64" t="s">
        <v>161</v>
      </c>
      <c r="X13" s="63"/>
      <c r="Y13" s="150"/>
      <c r="Z13" s="217"/>
    </row>
    <row r="14" spans="1:26" s="71" customFormat="1" ht="15.95" customHeight="1" x14ac:dyDescent="0.2">
      <c r="B14" s="10" t="s">
        <v>139</v>
      </c>
      <c r="C14" s="10"/>
      <c r="D14" s="10"/>
      <c r="E14" s="10"/>
      <c r="F14" s="10"/>
      <c r="G14" s="10"/>
      <c r="H14" s="79"/>
      <c r="I14" s="79"/>
      <c r="J14" s="79"/>
      <c r="K14" s="404">
        <v>0</v>
      </c>
      <c r="L14" s="404"/>
      <c r="M14" s="404"/>
      <c r="N14" s="70"/>
      <c r="Q14" s="71" t="s">
        <v>149</v>
      </c>
      <c r="U14" s="404">
        <v>0</v>
      </c>
      <c r="V14" s="404"/>
      <c r="W14" s="404"/>
      <c r="X14" s="70"/>
      <c r="Y14" s="150"/>
      <c r="Z14" s="571" t="s">
        <v>266</v>
      </c>
    </row>
    <row r="15" spans="1:26" s="71" customFormat="1" ht="15.95" customHeight="1" x14ac:dyDescent="0.2">
      <c r="B15" s="441" t="s">
        <v>140</v>
      </c>
      <c r="C15" s="441"/>
      <c r="D15" s="441"/>
      <c r="E15" s="441"/>
      <c r="F15" s="441"/>
      <c r="G15" s="441"/>
      <c r="H15" s="79"/>
      <c r="I15" s="79"/>
      <c r="J15" s="79"/>
      <c r="K15" s="404">
        <v>0</v>
      </c>
      <c r="L15" s="404"/>
      <c r="M15" s="404"/>
      <c r="N15" s="11" t="s">
        <v>162</v>
      </c>
      <c r="O15" s="79"/>
      <c r="P15" s="79"/>
      <c r="Q15" s="79" t="s">
        <v>150</v>
      </c>
      <c r="S15" s="79"/>
      <c r="T15" s="79"/>
      <c r="U15" s="404">
        <v>0</v>
      </c>
      <c r="V15" s="404"/>
      <c r="W15" s="404"/>
      <c r="X15" s="70" t="s">
        <v>162</v>
      </c>
      <c r="Y15" s="150"/>
      <c r="Z15" s="571"/>
    </row>
    <row r="16" spans="1:26" s="71" customFormat="1" ht="15.95" customHeight="1" x14ac:dyDescent="0.2">
      <c r="B16" s="441" t="s">
        <v>140</v>
      </c>
      <c r="C16" s="441"/>
      <c r="D16" s="441"/>
      <c r="E16" s="441"/>
      <c r="F16" s="441"/>
      <c r="G16" s="441"/>
      <c r="H16" s="79"/>
      <c r="I16" s="79"/>
      <c r="J16" s="79"/>
      <c r="K16" s="404">
        <v>0</v>
      </c>
      <c r="L16" s="404"/>
      <c r="M16" s="404"/>
      <c r="N16" s="11" t="s">
        <v>162</v>
      </c>
      <c r="O16" s="79"/>
      <c r="P16" s="79"/>
      <c r="Q16" s="79" t="s">
        <v>151</v>
      </c>
      <c r="S16" s="79"/>
      <c r="T16" s="79"/>
      <c r="U16" s="404">
        <v>0</v>
      </c>
      <c r="V16" s="404"/>
      <c r="W16" s="404"/>
      <c r="X16" s="70" t="s">
        <v>162</v>
      </c>
      <c r="Y16" s="150"/>
      <c r="Z16" s="571"/>
    </row>
    <row r="17" spans="2:26" s="71" customFormat="1" ht="15.95" customHeight="1" x14ac:dyDescent="0.2">
      <c r="B17" s="10" t="s">
        <v>141</v>
      </c>
      <c r="C17" s="10"/>
      <c r="D17" s="10"/>
      <c r="E17" s="10"/>
      <c r="F17" s="10"/>
      <c r="G17" s="10"/>
      <c r="H17" s="79"/>
      <c r="I17" s="79"/>
      <c r="J17" s="79"/>
      <c r="K17" s="404">
        <v>0</v>
      </c>
      <c r="L17" s="404"/>
      <c r="M17" s="404"/>
      <c r="N17" s="11" t="s">
        <v>163</v>
      </c>
      <c r="O17" s="79"/>
      <c r="P17" s="79"/>
      <c r="Q17" s="79" t="s">
        <v>152</v>
      </c>
      <c r="S17" s="79"/>
      <c r="T17" s="79"/>
      <c r="U17" s="404">
        <v>0</v>
      </c>
      <c r="V17" s="404"/>
      <c r="W17" s="404"/>
      <c r="X17" s="70" t="s">
        <v>162</v>
      </c>
      <c r="Y17" s="150"/>
      <c r="Z17" s="571"/>
    </row>
    <row r="18" spans="2:26" s="71" customFormat="1" ht="15.95" customHeight="1" x14ac:dyDescent="0.2">
      <c r="B18" s="10" t="s">
        <v>142</v>
      </c>
      <c r="C18" s="10"/>
      <c r="D18" s="10"/>
      <c r="E18" s="10"/>
      <c r="F18" s="10"/>
      <c r="G18" s="10"/>
      <c r="H18" s="79"/>
      <c r="I18" s="79"/>
      <c r="J18" s="79"/>
      <c r="K18" s="404">
        <v>0</v>
      </c>
      <c r="L18" s="404"/>
      <c r="M18" s="404"/>
      <c r="N18" s="11" t="s">
        <v>163</v>
      </c>
      <c r="O18" s="79"/>
      <c r="P18" s="79"/>
      <c r="Q18" s="79" t="s">
        <v>153</v>
      </c>
      <c r="S18" s="79"/>
      <c r="T18" s="79"/>
      <c r="U18" s="404">
        <v>0</v>
      </c>
      <c r="V18" s="404"/>
      <c r="W18" s="404"/>
      <c r="X18" s="70" t="s">
        <v>162</v>
      </c>
      <c r="Y18" s="150"/>
      <c r="Z18" s="571"/>
    </row>
    <row r="19" spans="2:26" s="71" customFormat="1" ht="15.95" customHeight="1" x14ac:dyDescent="0.2">
      <c r="B19" s="10" t="s">
        <v>143</v>
      </c>
      <c r="C19" s="10"/>
      <c r="D19" s="10"/>
      <c r="E19" s="10"/>
      <c r="F19" s="10"/>
      <c r="G19" s="10"/>
      <c r="H19" s="79"/>
      <c r="I19" s="79"/>
      <c r="J19" s="79"/>
      <c r="K19" s="404">
        <v>0</v>
      </c>
      <c r="L19" s="404"/>
      <c r="M19" s="404"/>
      <c r="N19" s="11" t="s">
        <v>163</v>
      </c>
      <c r="O19" s="79"/>
      <c r="P19" s="79"/>
      <c r="Q19" s="79" t="s">
        <v>154</v>
      </c>
      <c r="S19" s="79"/>
      <c r="T19" s="79"/>
      <c r="U19" s="404">
        <v>0</v>
      </c>
      <c r="V19" s="404"/>
      <c r="W19" s="404"/>
      <c r="X19" s="70" t="s">
        <v>162</v>
      </c>
      <c r="Y19" s="150"/>
      <c r="Z19" s="571"/>
    </row>
    <row r="20" spans="2:26" s="71" customFormat="1" ht="15.95" customHeight="1" x14ac:dyDescent="0.2">
      <c r="B20" s="10" t="s">
        <v>144</v>
      </c>
      <c r="C20" s="10"/>
      <c r="D20" s="10"/>
      <c r="E20" s="10"/>
      <c r="F20" s="10"/>
      <c r="G20" s="10"/>
      <c r="H20" s="79"/>
      <c r="I20" s="79"/>
      <c r="J20" s="79"/>
      <c r="K20" s="404">
        <v>0</v>
      </c>
      <c r="L20" s="404"/>
      <c r="M20" s="404"/>
      <c r="N20" s="11" t="s">
        <v>163</v>
      </c>
      <c r="O20" s="79"/>
      <c r="P20" s="79"/>
      <c r="Q20" s="79" t="s">
        <v>155</v>
      </c>
      <c r="S20" s="79"/>
      <c r="T20" s="79"/>
      <c r="U20" s="404">
        <v>0</v>
      </c>
      <c r="V20" s="404"/>
      <c r="W20" s="404"/>
      <c r="X20" s="70" t="s">
        <v>162</v>
      </c>
      <c r="Y20" s="150"/>
      <c r="Z20" s="571"/>
    </row>
    <row r="21" spans="2:26" s="71" customFormat="1" ht="15.95" customHeight="1" x14ac:dyDescent="0.2">
      <c r="B21" s="10" t="s">
        <v>145</v>
      </c>
      <c r="C21" s="10"/>
      <c r="D21" s="10"/>
      <c r="E21" s="10"/>
      <c r="F21" s="10"/>
      <c r="G21" s="10"/>
      <c r="H21" s="79"/>
      <c r="I21" s="79"/>
      <c r="J21" s="79"/>
      <c r="K21" s="404">
        <v>0</v>
      </c>
      <c r="L21" s="404"/>
      <c r="M21" s="404"/>
      <c r="N21" s="11" t="s">
        <v>163</v>
      </c>
      <c r="O21" s="79"/>
      <c r="P21" s="79"/>
      <c r="Q21" s="79" t="s">
        <v>156</v>
      </c>
      <c r="S21" s="79"/>
      <c r="T21" s="79"/>
      <c r="U21" s="404">
        <v>0</v>
      </c>
      <c r="V21" s="404"/>
      <c r="W21" s="404"/>
      <c r="X21" s="70" t="s">
        <v>162</v>
      </c>
      <c r="Y21" s="150"/>
      <c r="Z21" s="571"/>
    </row>
    <row r="22" spans="2:26" s="71" customFormat="1" ht="15.95" customHeight="1" x14ac:dyDescent="0.2">
      <c r="B22" s="10" t="s">
        <v>146</v>
      </c>
      <c r="C22" s="10"/>
      <c r="D22" s="10"/>
      <c r="E22" s="10"/>
      <c r="F22" s="10"/>
      <c r="G22" s="10"/>
      <c r="H22" s="79"/>
      <c r="I22" s="79"/>
      <c r="J22" s="79"/>
      <c r="K22" s="404">
        <v>0</v>
      </c>
      <c r="L22" s="404"/>
      <c r="M22" s="404"/>
      <c r="N22" s="11" t="s">
        <v>163</v>
      </c>
      <c r="O22" s="79"/>
      <c r="P22" s="79"/>
      <c r="Q22" s="79" t="s">
        <v>157</v>
      </c>
      <c r="S22" s="79"/>
      <c r="T22" s="79"/>
      <c r="U22" s="404">
        <v>0</v>
      </c>
      <c r="V22" s="404"/>
      <c r="W22" s="404"/>
      <c r="X22" s="70" t="s">
        <v>162</v>
      </c>
      <c r="Y22" s="150"/>
      <c r="Z22" s="571"/>
    </row>
    <row r="23" spans="2:26" s="71" customFormat="1" ht="15.95" customHeight="1" x14ac:dyDescent="0.2">
      <c r="B23" s="10" t="s">
        <v>147</v>
      </c>
      <c r="C23" s="10"/>
      <c r="D23" s="10"/>
      <c r="E23" s="10"/>
      <c r="F23" s="10"/>
      <c r="G23" s="10"/>
      <c r="H23" s="79"/>
      <c r="I23" s="79"/>
      <c r="J23" s="79"/>
      <c r="K23" s="404">
        <v>0</v>
      </c>
      <c r="L23" s="404"/>
      <c r="M23" s="404"/>
      <c r="N23" s="11" t="s">
        <v>163</v>
      </c>
      <c r="O23" s="79"/>
      <c r="P23" s="79"/>
      <c r="Q23" s="79" t="s">
        <v>158</v>
      </c>
      <c r="S23" s="79"/>
      <c r="T23" s="79"/>
      <c r="U23" s="404">
        <v>0</v>
      </c>
      <c r="V23" s="404"/>
      <c r="W23" s="404"/>
      <c r="X23" s="70" t="s">
        <v>162</v>
      </c>
      <c r="Y23" s="150"/>
      <c r="Z23" s="571"/>
    </row>
    <row r="24" spans="2:26" s="71" customFormat="1" ht="15.95" customHeight="1" x14ac:dyDescent="0.2">
      <c r="B24" s="441" t="s">
        <v>148</v>
      </c>
      <c r="C24" s="441"/>
      <c r="D24" s="441"/>
      <c r="E24" s="441"/>
      <c r="F24" s="441"/>
      <c r="G24" s="441"/>
      <c r="H24" s="79"/>
      <c r="I24" s="79"/>
      <c r="J24" s="79"/>
      <c r="K24" s="404">
        <v>0</v>
      </c>
      <c r="L24" s="404"/>
      <c r="M24" s="404"/>
      <c r="N24" s="11" t="s">
        <v>163</v>
      </c>
      <c r="O24" s="79"/>
      <c r="P24" s="79"/>
      <c r="Q24" s="79" t="s">
        <v>159</v>
      </c>
      <c r="S24" s="79"/>
      <c r="T24" s="79"/>
      <c r="U24" s="404">
        <v>0</v>
      </c>
      <c r="V24" s="404"/>
      <c r="W24" s="404"/>
      <c r="X24" s="70" t="s">
        <v>162</v>
      </c>
      <c r="Y24" s="150"/>
      <c r="Z24" s="571"/>
    </row>
    <row r="25" spans="2:26" s="71" customFormat="1" ht="15.95" customHeight="1" x14ac:dyDescent="0.2">
      <c r="B25" s="441" t="s">
        <v>148</v>
      </c>
      <c r="C25" s="441"/>
      <c r="D25" s="441"/>
      <c r="E25" s="441"/>
      <c r="F25" s="441"/>
      <c r="G25" s="441"/>
      <c r="H25" s="79"/>
      <c r="I25" s="79"/>
      <c r="J25" s="79"/>
      <c r="K25" s="410">
        <v>0</v>
      </c>
      <c r="L25" s="410"/>
      <c r="M25" s="410"/>
      <c r="N25" s="12" t="s">
        <v>163</v>
      </c>
      <c r="O25" s="79"/>
      <c r="P25" s="79"/>
      <c r="Q25" s="79" t="s">
        <v>160</v>
      </c>
      <c r="S25" s="79"/>
      <c r="T25" s="79"/>
      <c r="U25" s="410">
        <v>0</v>
      </c>
      <c r="V25" s="410"/>
      <c r="W25" s="410"/>
      <c r="X25" s="80" t="s">
        <v>162</v>
      </c>
      <c r="Y25" s="150"/>
      <c r="Z25" s="571"/>
    </row>
    <row r="26" spans="2:26" s="71" customFormat="1" ht="3.95" customHeight="1" x14ac:dyDescent="0.2">
      <c r="B26" s="44"/>
      <c r="C26" s="44"/>
      <c r="D26" s="44"/>
      <c r="E26" s="44"/>
      <c r="F26" s="44"/>
      <c r="G26" s="44"/>
      <c r="H26" s="79"/>
      <c r="I26" s="79"/>
      <c r="J26" s="79"/>
      <c r="K26" s="81"/>
      <c r="L26" s="81"/>
      <c r="M26" s="81"/>
      <c r="N26" s="48"/>
      <c r="O26" s="79"/>
      <c r="P26" s="79"/>
      <c r="Q26" s="79"/>
      <c r="S26" s="79"/>
      <c r="T26" s="79"/>
      <c r="U26" s="81"/>
      <c r="V26" s="81"/>
      <c r="W26" s="81"/>
      <c r="X26" s="82"/>
      <c r="Y26" s="150"/>
      <c r="Z26" s="213"/>
    </row>
    <row r="27" spans="2:26" s="79" customFormat="1" ht="15.95" customHeight="1" x14ac:dyDescent="0.2">
      <c r="B27" s="10" t="s">
        <v>198</v>
      </c>
      <c r="C27" s="10"/>
      <c r="D27" s="10"/>
      <c r="E27" s="10"/>
      <c r="F27" s="10"/>
      <c r="G27" s="10"/>
      <c r="I27" s="83"/>
      <c r="J27" s="83"/>
      <c r="K27" s="416">
        <f>SUM(K14:M16)-SUM(K17:M25)</f>
        <v>0</v>
      </c>
      <c r="L27" s="416"/>
      <c r="M27" s="416"/>
      <c r="N27" s="84"/>
      <c r="O27" s="83"/>
      <c r="P27" s="83"/>
      <c r="Q27" s="49" t="s">
        <v>197</v>
      </c>
      <c r="R27" s="83"/>
      <c r="S27" s="83"/>
      <c r="T27" s="83"/>
      <c r="U27" s="416">
        <f>SUM(U14:W25)</f>
        <v>0</v>
      </c>
      <c r="V27" s="416"/>
      <c r="W27" s="416"/>
      <c r="X27" s="85"/>
      <c r="Y27" s="150"/>
      <c r="Z27" s="213"/>
    </row>
    <row r="28" spans="2:26" s="79" customFormat="1" ht="15.95" customHeight="1" x14ac:dyDescent="0.2">
      <c r="N28" s="85"/>
      <c r="X28" s="85"/>
      <c r="Y28" s="150"/>
      <c r="Z28" s="213"/>
    </row>
    <row r="29" spans="2:26" s="79" customFormat="1" ht="15.95" customHeight="1" x14ac:dyDescent="0.2">
      <c r="B29" s="79" t="s">
        <v>198</v>
      </c>
      <c r="K29" s="411">
        <f>K27</f>
        <v>0</v>
      </c>
      <c r="L29" s="412"/>
      <c r="M29" s="412"/>
      <c r="X29" s="85"/>
      <c r="Y29" s="150"/>
      <c r="Z29" s="213"/>
    </row>
    <row r="30" spans="2:26" s="79" customFormat="1" ht="15.95" customHeight="1" x14ac:dyDescent="0.2">
      <c r="B30" s="79" t="s">
        <v>197</v>
      </c>
      <c r="K30" s="420">
        <f>U27</f>
        <v>0</v>
      </c>
      <c r="L30" s="421"/>
      <c r="M30" s="421"/>
      <c r="N30" s="9" t="s">
        <v>162</v>
      </c>
      <c r="O30" s="86"/>
      <c r="P30" s="87"/>
      <c r="U30" s="88"/>
      <c r="V30" s="89"/>
      <c r="W30" s="89"/>
      <c r="X30" s="85"/>
      <c r="Y30" s="150"/>
      <c r="Z30" s="213"/>
    </row>
    <row r="31" spans="2:26" s="79" customFormat="1" ht="3.95" customHeight="1" x14ac:dyDescent="0.2">
      <c r="K31" s="144"/>
      <c r="L31" s="194"/>
      <c r="M31" s="194"/>
      <c r="N31" s="24"/>
      <c r="O31" s="86"/>
      <c r="P31" s="87"/>
      <c r="U31" s="88"/>
      <c r="V31" s="89"/>
      <c r="W31" s="89"/>
      <c r="X31" s="85"/>
      <c r="Y31" s="150"/>
      <c r="Z31" s="213"/>
    </row>
    <row r="32" spans="2:26" s="79" customFormat="1" ht="15.95" customHeight="1" x14ac:dyDescent="0.2">
      <c r="B32" s="79" t="s">
        <v>210</v>
      </c>
      <c r="K32" s="411">
        <f>SUM(K29:M30)</f>
        <v>0</v>
      </c>
      <c r="L32" s="412"/>
      <c r="M32" s="412"/>
      <c r="O32" s="47" t="s">
        <v>164</v>
      </c>
      <c r="P32" s="86">
        <f>U9</f>
        <v>0</v>
      </c>
      <c r="Q32" s="87" t="str">
        <f>V9</f>
        <v>Monat</v>
      </c>
      <c r="S32" s="79" t="s">
        <v>175</v>
      </c>
      <c r="U32" s="407">
        <f>IF(U9=0,0,ROUND(K32/U9,2))</f>
        <v>0</v>
      </c>
      <c r="V32" s="408"/>
      <c r="W32" s="408"/>
      <c r="X32" s="85"/>
      <c r="Y32" s="150"/>
      <c r="Z32" s="213"/>
    </row>
    <row r="33" spans="2:26" s="79" customFormat="1" ht="15.95" customHeight="1" x14ac:dyDescent="0.2">
      <c r="K33" s="104"/>
      <c r="L33" s="105"/>
      <c r="M33" s="105"/>
      <c r="N33" s="47"/>
      <c r="O33" s="86"/>
      <c r="P33" s="87"/>
      <c r="U33" s="88"/>
      <c r="V33" s="89"/>
      <c r="W33" s="89"/>
      <c r="X33" s="85"/>
      <c r="Y33" s="150"/>
      <c r="Z33" s="213"/>
    </row>
    <row r="34" spans="2:26" s="68" customFormat="1" ht="20.100000000000001" customHeight="1" x14ac:dyDescent="0.2">
      <c r="B34" s="468" t="s">
        <v>258</v>
      </c>
      <c r="C34" s="468"/>
      <c r="D34" s="468"/>
      <c r="E34" s="468"/>
      <c r="F34" s="468"/>
      <c r="G34" s="468"/>
      <c r="H34" s="468"/>
      <c r="I34" s="468"/>
      <c r="J34" s="468"/>
      <c r="K34" s="468"/>
      <c r="L34" s="468"/>
      <c r="M34" s="468"/>
      <c r="N34" s="468"/>
      <c r="O34" s="468"/>
      <c r="P34" s="468"/>
      <c r="Q34" s="468"/>
      <c r="R34" s="468"/>
      <c r="S34" s="468"/>
      <c r="T34" s="468"/>
      <c r="U34" s="468"/>
      <c r="V34" s="468"/>
      <c r="W34" s="468"/>
      <c r="X34" s="468"/>
      <c r="Y34" s="150"/>
      <c r="Z34" s="213"/>
    </row>
    <row r="35" spans="2:26" s="169" customFormat="1" ht="15.95" customHeight="1" x14ac:dyDescent="0.2">
      <c r="B35" s="172"/>
      <c r="C35" s="172"/>
      <c r="D35" s="172"/>
      <c r="E35" s="172"/>
      <c r="F35" s="172"/>
      <c r="G35" s="172"/>
      <c r="H35" s="172"/>
      <c r="I35" s="172"/>
      <c r="J35" s="172"/>
      <c r="K35" s="172"/>
      <c r="L35" s="172"/>
      <c r="M35" s="172"/>
      <c r="N35" s="172"/>
      <c r="U35" s="173"/>
      <c r="V35" s="173"/>
      <c r="W35" s="173"/>
      <c r="X35" s="171"/>
      <c r="Y35" s="161"/>
      <c r="Z35" s="214"/>
    </row>
    <row r="36" spans="2:26" ht="15.95" customHeight="1" x14ac:dyDescent="0.2">
      <c r="B36" s="175" t="s">
        <v>261</v>
      </c>
      <c r="U36" s="467"/>
      <c r="V36" s="467"/>
      <c r="W36" s="467"/>
      <c r="Y36" s="160"/>
      <c r="Z36" s="466" t="s">
        <v>275</v>
      </c>
    </row>
    <row r="37" spans="2:26" ht="15.95" customHeight="1" x14ac:dyDescent="0.2">
      <c r="B37" s="174" t="str">
        <f>"Pauschale 5% (max. " &amp; DTParameter!D35 &amp; " €) von"</f>
        <v>Pauschale 5% (max. 150 €) von</v>
      </c>
      <c r="F37" s="177"/>
      <c r="G37" s="177"/>
      <c r="H37" s="547">
        <f>U32</f>
        <v>0</v>
      </c>
      <c r="I37" s="547"/>
      <c r="J37" s="547"/>
      <c r="K37" s="174" t="s">
        <v>175</v>
      </c>
      <c r="P37" s="467">
        <f>IF(H37*5%&gt;DTParameter!D35,DTParameter!D35,H37*5%)</f>
        <v>0</v>
      </c>
      <c r="Q37" s="467"/>
      <c r="R37" s="467"/>
      <c r="U37" s="467"/>
      <c r="V37" s="467"/>
      <c r="W37" s="467"/>
      <c r="Y37" s="160"/>
      <c r="Z37" s="466"/>
    </row>
    <row r="38" spans="2:26" ht="15.95" customHeight="1" x14ac:dyDescent="0.2">
      <c r="U38" s="173"/>
      <c r="V38" s="173"/>
      <c r="W38" s="173"/>
      <c r="Y38" s="160"/>
      <c r="Z38" s="466"/>
    </row>
    <row r="39" spans="2:26" ht="15.95" customHeight="1" x14ac:dyDescent="0.2">
      <c r="B39" s="178" t="s">
        <v>264</v>
      </c>
      <c r="P39" s="548" t="s">
        <v>260</v>
      </c>
      <c r="Q39" s="548"/>
      <c r="R39" s="548"/>
      <c r="U39" s="173"/>
      <c r="V39" s="173"/>
      <c r="W39" s="173"/>
      <c r="Y39" s="160"/>
      <c r="Z39" s="466"/>
    </row>
    <row r="40" spans="2:26" ht="15.95" customHeight="1" x14ac:dyDescent="0.2">
      <c r="B40" s="178"/>
      <c r="U40" s="173"/>
      <c r="V40" s="173"/>
      <c r="W40" s="173"/>
      <c r="Y40" s="160"/>
      <c r="Z40" s="466"/>
    </row>
    <row r="41" spans="2:26" ht="15.95" customHeight="1" x14ac:dyDescent="0.2">
      <c r="B41" s="174" t="s">
        <v>259</v>
      </c>
      <c r="L41" s="211">
        <v>0</v>
      </c>
      <c r="M41" s="179" t="s">
        <v>177</v>
      </c>
      <c r="U41" s="173"/>
      <c r="V41" s="173"/>
      <c r="W41" s="173"/>
      <c r="Y41" s="160"/>
      <c r="Z41" s="458" t="str">
        <f>"Es wird - weil unterhaltsrechtlich die gesamten gefahrenen KM anzuerkennen sind - automatisch für Hin- und Rückfahrt der anzuerkennende Betrag ermittelt. Je Fahrt gilt: Für die ersten 30 km werden derzeit " &amp; KBParameter!C51 &amp; " EUR, darüber hinaus " &amp; KBParameter!C51/2 &amp; " EUR anerkannt."</f>
        <v>Es wird - weil unterhaltsrechtlich die gesamten gefahrenen KM anzuerkennen sind - automatisch für Hin- und Rückfahrt der anzuerkennende Betrag ermittelt. Je Fahrt gilt: Für die ersten 30 km werden derzeit 0,3 EUR, darüber hinaus 0,15 EUR anerkannt.</v>
      </c>
    </row>
    <row r="42" spans="2:26" ht="15.95" customHeight="1" x14ac:dyDescent="0.2">
      <c r="B42" s="179" t="s">
        <v>262</v>
      </c>
      <c r="C42" s="179"/>
      <c r="E42" s="211">
        <v>0</v>
      </c>
      <c r="F42" s="179" t="s">
        <v>246</v>
      </c>
      <c r="G42" s="179"/>
      <c r="H42" s="179"/>
      <c r="I42" s="211">
        <f>U9</f>
        <v>0</v>
      </c>
      <c r="J42" s="90" t="str">
        <f>"Monat" &amp; IF((DATEDIF(K9,O9,"m")+1)&gt;1,"e","")</f>
        <v>Monat</v>
      </c>
      <c r="K42" s="179"/>
      <c r="P42" s="180"/>
      <c r="Q42" s="180"/>
      <c r="R42" s="179"/>
      <c r="S42" s="179"/>
      <c r="T42" s="179"/>
      <c r="U42" s="173"/>
      <c r="V42" s="173"/>
      <c r="W42" s="173"/>
      <c r="Y42" s="160"/>
      <c r="Z42" s="458"/>
    </row>
    <row r="43" spans="2:26" ht="15.95" customHeight="1" x14ac:dyDescent="0.2">
      <c r="B43" s="187" t="str">
        <f>"Hinfahrt:    " &amp; IF(L41&gt;30,"30 km x " &amp; KBParameter!C51&amp; " € + "&amp; L41 -30 &amp; " km x "&amp;KBParameter!C51/2,L41 &amp; " km x " &amp; KBParameter!C51) &amp; " € x " &amp;E42&amp; " Tage / " &amp; I42 &amp; " Mon."</f>
        <v>Hinfahrt:    0 km x 0,3 € x 0 Tage / 0 Mon.</v>
      </c>
      <c r="C43" s="181"/>
      <c r="D43" s="181"/>
      <c r="E43" s="182"/>
      <c r="F43" s="181"/>
      <c r="G43" s="181"/>
      <c r="H43" s="181"/>
      <c r="I43" s="181"/>
      <c r="J43" s="181"/>
      <c r="K43" s="181"/>
      <c r="L43" s="467">
        <f>IF(L41&gt;0,(IF(L41&gt;=30,30*KBParameter!C51,L41*KBParameter!C51)+IF(L41&gt;=30,(L41-30)*KBParameter!C51/2,0))*E42/I42,0)</f>
        <v>0</v>
      </c>
      <c r="M43" s="467"/>
      <c r="N43" s="467"/>
      <c r="O43" s="179" t="s">
        <v>162</v>
      </c>
      <c r="Q43" s="180"/>
      <c r="R43" s="179"/>
      <c r="S43" s="179"/>
      <c r="T43" s="179"/>
      <c r="U43" s="173"/>
      <c r="V43" s="173"/>
      <c r="W43" s="173"/>
      <c r="Y43" s="160"/>
      <c r="Z43" s="458"/>
    </row>
    <row r="44" spans="2:26" ht="15.95" customHeight="1" x14ac:dyDescent="0.2">
      <c r="B44" s="187" t="str">
        <f>"Rückfahrt: " &amp; IF(L41&gt;30,"30 km x " &amp; KBParameter!C51&amp; " € + "&amp; L41 -30 &amp; " km x "&amp;KBParameter!C51/2,L41 &amp; " km x " &amp; KBParameter!C51) &amp; " € x " &amp;E42&amp; " Tage / " &amp; I42 &amp; " Mon."</f>
        <v>Rückfahrt: 0 km x 0,3 € x 0 Tage / 0 Mon.</v>
      </c>
      <c r="C44" s="181"/>
      <c r="D44" s="181"/>
      <c r="E44" s="182"/>
      <c r="F44" s="181"/>
      <c r="G44" s="181"/>
      <c r="H44" s="181"/>
      <c r="I44" s="181"/>
      <c r="J44" s="181"/>
      <c r="K44" s="181"/>
      <c r="L44" s="467">
        <f>IF(L41&gt;0,(IF(L41&gt;=30,30*KBParameter!C51,L41*KBParameter!C51)+IF(L41&gt;=30,(L41-30)*KBParameter!C51/2,0))*E42/I42,0)</f>
        <v>0</v>
      </c>
      <c r="M44" s="467"/>
      <c r="N44" s="467"/>
      <c r="O44" s="179" t="s">
        <v>162</v>
      </c>
      <c r="Q44" s="180"/>
      <c r="R44" s="179"/>
      <c r="S44" s="179"/>
      <c r="T44" s="179"/>
      <c r="U44" s="173"/>
      <c r="V44" s="173"/>
      <c r="W44" s="173"/>
      <c r="Y44" s="160"/>
      <c r="Z44" s="458"/>
    </row>
    <row r="45" spans="2:26" ht="15.95" customHeight="1" x14ac:dyDescent="0.2">
      <c r="B45" s="187"/>
      <c r="C45" s="181"/>
      <c r="D45" s="181"/>
      <c r="E45" s="182"/>
      <c r="F45" s="181"/>
      <c r="G45" s="181"/>
      <c r="H45" s="181"/>
      <c r="I45" s="181"/>
      <c r="J45" s="181"/>
      <c r="K45" s="181"/>
      <c r="L45" s="109"/>
      <c r="M45" s="109"/>
      <c r="N45" s="109"/>
      <c r="O45" s="179"/>
      <c r="Q45" s="180"/>
      <c r="R45" s="179"/>
      <c r="S45" s="179"/>
      <c r="T45" s="179"/>
      <c r="U45" s="173"/>
      <c r="V45" s="173"/>
      <c r="W45" s="173"/>
      <c r="Y45" s="160"/>
      <c r="Z45" s="214"/>
    </row>
    <row r="46" spans="2:26" ht="15.95" customHeight="1" x14ac:dyDescent="0.2">
      <c r="B46" s="405" t="s">
        <v>263</v>
      </c>
      <c r="C46" s="405"/>
      <c r="D46" s="405"/>
      <c r="E46" s="405"/>
      <c r="F46" s="405"/>
      <c r="G46" s="405"/>
      <c r="H46" s="405"/>
      <c r="I46" s="405"/>
      <c r="J46" s="405"/>
      <c r="K46" s="206"/>
      <c r="L46" s="537">
        <v>0</v>
      </c>
      <c r="M46" s="537"/>
      <c r="N46" s="537"/>
      <c r="O46" s="183" t="s">
        <v>162</v>
      </c>
      <c r="Q46" s="207"/>
      <c r="S46" s="179"/>
      <c r="T46" s="179"/>
      <c r="U46" s="173"/>
      <c r="V46" s="173"/>
      <c r="W46" s="173"/>
      <c r="Y46" s="160"/>
      <c r="Z46" s="458" t="s">
        <v>274</v>
      </c>
    </row>
    <row r="47" spans="2:26" ht="3.95" customHeight="1" x14ac:dyDescent="0.2">
      <c r="B47" s="181"/>
      <c r="C47" s="181"/>
      <c r="D47" s="181"/>
      <c r="E47" s="182"/>
      <c r="F47" s="181"/>
      <c r="G47" s="181"/>
      <c r="H47" s="181"/>
      <c r="I47" s="181"/>
      <c r="J47" s="181"/>
      <c r="K47" s="181"/>
      <c r="L47" s="158"/>
      <c r="M47" s="158"/>
      <c r="N47" s="188"/>
      <c r="O47" s="180"/>
      <c r="Q47" s="180"/>
      <c r="R47" s="179"/>
      <c r="S47" s="179"/>
      <c r="T47" s="179"/>
      <c r="U47" s="173"/>
      <c r="V47" s="173"/>
      <c r="W47" s="173"/>
      <c r="Y47" s="160"/>
      <c r="Z47" s="458"/>
    </row>
    <row r="48" spans="2:26" ht="15.95" customHeight="1" x14ac:dyDescent="0.2">
      <c r="B48" s="184" t="s">
        <v>178</v>
      </c>
      <c r="C48" s="184"/>
      <c r="D48" s="184"/>
      <c r="E48" s="184"/>
      <c r="F48" s="184"/>
      <c r="G48" s="184"/>
      <c r="H48" s="184"/>
      <c r="I48" s="184"/>
      <c r="J48" s="184"/>
      <c r="K48" s="179"/>
      <c r="L48" s="538">
        <f>SUM(L43:N46)</f>
        <v>0</v>
      </c>
      <c r="M48" s="538"/>
      <c r="N48" s="538"/>
      <c r="O48" s="185"/>
      <c r="P48" s="539">
        <f>L48</f>
        <v>0</v>
      </c>
      <c r="Q48" s="539"/>
      <c r="R48" s="539"/>
      <c r="S48" s="186"/>
      <c r="T48" s="186"/>
      <c r="X48" s="174"/>
      <c r="Y48" s="160"/>
      <c r="Z48" s="458"/>
    </row>
    <row r="49" spans="2:26" ht="15.95" customHeight="1" x14ac:dyDescent="0.2">
      <c r="B49" s="184"/>
      <c r="C49" s="184"/>
      <c r="D49" s="184"/>
      <c r="E49" s="184"/>
      <c r="F49" s="184"/>
      <c r="G49" s="184"/>
      <c r="H49" s="184"/>
      <c r="I49" s="184"/>
      <c r="J49" s="184"/>
      <c r="K49" s="179"/>
      <c r="L49" s="156"/>
      <c r="M49" s="156"/>
      <c r="N49" s="156"/>
      <c r="O49" s="185"/>
      <c r="P49" s="157"/>
      <c r="Q49" s="157"/>
      <c r="R49" s="157"/>
      <c r="S49" s="186"/>
      <c r="T49" s="186"/>
      <c r="X49" s="174"/>
      <c r="Y49" s="160"/>
      <c r="Z49" s="458" t="s">
        <v>273</v>
      </c>
    </row>
    <row r="50" spans="2:26" ht="15.95" customHeight="1" x14ac:dyDescent="0.2">
      <c r="B50" s="184" t="str">
        <f>"Maßgeblich ist der höhere Betrag (mithin hier die " &amp; IF(P37&gt;P48,"o. g. Pauschale)","nachgewiesenen Kosten)")</f>
        <v>Maßgeblich ist der höhere Betrag (mithin hier die nachgewiesenen Kosten)</v>
      </c>
      <c r="C50" s="184"/>
      <c r="D50" s="184"/>
      <c r="E50" s="184"/>
      <c r="F50" s="184"/>
      <c r="G50" s="184"/>
      <c r="H50" s="184"/>
      <c r="I50" s="184"/>
      <c r="J50" s="184"/>
      <c r="K50" s="179"/>
      <c r="L50" s="157"/>
      <c r="M50" s="157"/>
      <c r="N50" s="157"/>
      <c r="O50" s="186"/>
      <c r="P50" s="186"/>
      <c r="Q50" s="186"/>
      <c r="R50" s="186"/>
      <c r="S50" s="186"/>
      <c r="T50" s="186"/>
      <c r="U50" s="467">
        <f>IF(P37&gt;P48,P37,P48)</f>
        <v>0</v>
      </c>
      <c r="V50" s="467"/>
      <c r="W50" s="467"/>
      <c r="X50" s="171" t="s">
        <v>163</v>
      </c>
      <c r="Y50" s="160"/>
      <c r="Z50" s="458"/>
    </row>
    <row r="51" spans="2:26" ht="15.95" customHeight="1" x14ac:dyDescent="0.2">
      <c r="B51" s="184"/>
      <c r="C51" s="184"/>
      <c r="D51" s="184"/>
      <c r="E51" s="184"/>
      <c r="F51" s="184"/>
      <c r="G51" s="184"/>
      <c r="H51" s="184"/>
      <c r="I51" s="184"/>
      <c r="J51" s="184"/>
      <c r="K51" s="179"/>
      <c r="L51" s="157"/>
      <c r="M51" s="157"/>
      <c r="N51" s="157"/>
      <c r="O51" s="186"/>
      <c r="P51" s="186"/>
      <c r="Q51" s="186"/>
      <c r="R51" s="186"/>
      <c r="S51" s="186"/>
      <c r="T51" s="186"/>
      <c r="U51" s="173"/>
      <c r="V51" s="173"/>
      <c r="W51" s="173"/>
      <c r="X51" s="171"/>
      <c r="Y51" s="160"/>
      <c r="Z51" s="214"/>
    </row>
    <row r="52" spans="2:26" s="68" customFormat="1" ht="20.100000000000001" customHeight="1" x14ac:dyDescent="0.2">
      <c r="B52" s="468" t="s">
        <v>255</v>
      </c>
      <c r="C52" s="468"/>
      <c r="D52" s="468"/>
      <c r="E52" s="468"/>
      <c r="F52" s="468"/>
      <c r="G52" s="468"/>
      <c r="H52" s="468"/>
      <c r="I52" s="468"/>
      <c r="J52" s="468"/>
      <c r="K52" s="468"/>
      <c r="L52" s="468"/>
      <c r="M52" s="468"/>
      <c r="N52" s="468"/>
      <c r="O52" s="468"/>
      <c r="P52" s="468"/>
      <c r="Q52" s="468"/>
      <c r="R52" s="468"/>
      <c r="S52" s="468"/>
      <c r="T52" s="468"/>
      <c r="U52" s="468"/>
      <c r="V52" s="468"/>
      <c r="W52" s="468"/>
      <c r="X52" s="468"/>
      <c r="Y52" s="150"/>
      <c r="Z52" s="213"/>
    </row>
    <row r="53" spans="2:26" s="169" customFormat="1" ht="15.95" customHeight="1" x14ac:dyDescent="0.2">
      <c r="B53" s="172"/>
      <c r="C53" s="172"/>
      <c r="D53" s="172"/>
      <c r="E53" s="172"/>
      <c r="F53" s="172"/>
      <c r="G53" s="172"/>
      <c r="H53" s="172"/>
      <c r="I53" s="172"/>
      <c r="J53" s="172"/>
      <c r="K53" s="172"/>
      <c r="L53" s="172"/>
      <c r="M53" s="172"/>
      <c r="N53" s="172"/>
      <c r="U53" s="173"/>
      <c r="V53" s="173"/>
      <c r="W53" s="173"/>
      <c r="X53" s="171"/>
      <c r="Y53" s="161"/>
      <c r="Z53" s="214"/>
    </row>
    <row r="54" spans="2:26" ht="15.95" customHeight="1" x14ac:dyDescent="0.2">
      <c r="B54" s="405" t="s">
        <v>247</v>
      </c>
      <c r="C54" s="405"/>
      <c r="D54" s="405"/>
      <c r="E54" s="405"/>
      <c r="F54" s="405"/>
      <c r="G54" s="405"/>
      <c r="H54" s="405"/>
      <c r="I54" s="405"/>
      <c r="J54" s="405"/>
      <c r="K54" s="405"/>
      <c r="L54" s="405"/>
      <c r="M54" s="405"/>
      <c r="N54" s="405"/>
      <c r="O54" s="186"/>
      <c r="P54" s="186"/>
      <c r="Q54" s="186"/>
      <c r="R54" s="186"/>
      <c r="S54" s="186"/>
      <c r="T54" s="186"/>
      <c r="U54" s="557">
        <v>0</v>
      </c>
      <c r="V54" s="557"/>
      <c r="W54" s="557"/>
      <c r="X54" s="171" t="s">
        <v>162</v>
      </c>
      <c r="Y54" s="160"/>
      <c r="Z54" s="214" t="s">
        <v>276</v>
      </c>
    </row>
    <row r="55" spans="2:26" ht="15.95" customHeight="1" x14ac:dyDescent="0.2">
      <c r="B55" s="405" t="s">
        <v>248</v>
      </c>
      <c r="C55" s="405"/>
      <c r="D55" s="405"/>
      <c r="E55" s="405"/>
      <c r="F55" s="405"/>
      <c r="G55" s="405"/>
      <c r="H55" s="405"/>
      <c r="I55" s="405"/>
      <c r="J55" s="405"/>
      <c r="K55" s="405"/>
      <c r="L55" s="405"/>
      <c r="M55" s="405"/>
      <c r="N55" s="405"/>
      <c r="O55" s="186"/>
      <c r="P55" s="186"/>
      <c r="Q55" s="186"/>
      <c r="R55" s="186"/>
      <c r="S55" s="186"/>
      <c r="T55" s="186"/>
      <c r="U55" s="557">
        <v>0</v>
      </c>
      <c r="V55" s="557"/>
      <c r="W55" s="557"/>
      <c r="X55" s="171" t="s">
        <v>162</v>
      </c>
      <c r="Y55" s="160"/>
      <c r="Z55" s="214"/>
    </row>
    <row r="56" spans="2:26" ht="15.95" customHeight="1" x14ac:dyDescent="0.2">
      <c r="B56" s="405" t="s">
        <v>249</v>
      </c>
      <c r="C56" s="405"/>
      <c r="D56" s="405"/>
      <c r="E56" s="405"/>
      <c r="F56" s="405"/>
      <c r="G56" s="405"/>
      <c r="H56" s="405"/>
      <c r="I56" s="405"/>
      <c r="J56" s="405"/>
      <c r="K56" s="405"/>
      <c r="L56" s="405"/>
      <c r="M56" s="405"/>
      <c r="N56" s="405"/>
      <c r="O56" s="186"/>
      <c r="P56" s="186"/>
      <c r="Q56" s="186"/>
      <c r="R56" s="186"/>
      <c r="S56" s="186"/>
      <c r="T56" s="186"/>
      <c r="U56" s="557">
        <v>0</v>
      </c>
      <c r="V56" s="557"/>
      <c r="W56" s="557"/>
      <c r="X56" s="171" t="s">
        <v>162</v>
      </c>
      <c r="Y56" s="160"/>
      <c r="Z56" s="214"/>
    </row>
    <row r="57" spans="2:26" ht="15.95" customHeight="1" x14ac:dyDescent="0.2">
      <c r="B57" s="405" t="s">
        <v>250</v>
      </c>
      <c r="C57" s="405"/>
      <c r="D57" s="405"/>
      <c r="E57" s="405"/>
      <c r="F57" s="405"/>
      <c r="G57" s="405"/>
      <c r="H57" s="405"/>
      <c r="I57" s="405"/>
      <c r="J57" s="405"/>
      <c r="K57" s="405"/>
      <c r="L57" s="405"/>
      <c r="M57" s="405"/>
      <c r="N57" s="405"/>
      <c r="O57" s="186"/>
      <c r="P57" s="186"/>
      <c r="Q57" s="186"/>
      <c r="R57" s="186"/>
      <c r="S57" s="186"/>
      <c r="T57" s="186"/>
      <c r="U57" s="557">
        <v>0</v>
      </c>
      <c r="V57" s="557"/>
      <c r="W57" s="557"/>
      <c r="X57" s="171" t="s">
        <v>162</v>
      </c>
      <c r="Y57" s="160"/>
      <c r="Z57" s="214"/>
    </row>
    <row r="58" spans="2:26" ht="15.95" customHeight="1" x14ac:dyDescent="0.2">
      <c r="B58" s="569" t="s">
        <v>251</v>
      </c>
      <c r="C58" s="569"/>
      <c r="D58" s="569"/>
      <c r="E58" s="569"/>
      <c r="F58" s="569"/>
      <c r="G58" s="569"/>
      <c r="H58" s="569"/>
      <c r="I58" s="569"/>
      <c r="J58" s="569"/>
      <c r="K58" s="569"/>
      <c r="L58" s="569"/>
      <c r="M58" s="569"/>
      <c r="N58" s="569"/>
      <c r="O58" s="186"/>
      <c r="P58" s="186"/>
      <c r="Q58" s="186"/>
      <c r="R58" s="186"/>
      <c r="S58" s="186"/>
      <c r="T58" s="186"/>
      <c r="U58" s="450">
        <f>'Einkommen selbst. Tätigkeit'!G76</f>
        <v>0</v>
      </c>
      <c r="V58" s="450"/>
      <c r="W58" s="450"/>
      <c r="X58" s="189" t="s">
        <v>162</v>
      </c>
      <c r="Y58" s="160"/>
      <c r="Z58" s="214" t="s">
        <v>337</v>
      </c>
    </row>
    <row r="59" spans="2:26" ht="3.95" customHeight="1" x14ac:dyDescent="0.2">
      <c r="B59" s="190"/>
      <c r="C59" s="190"/>
      <c r="D59" s="190"/>
      <c r="E59" s="190"/>
      <c r="F59" s="190"/>
      <c r="G59" s="190"/>
      <c r="H59" s="190"/>
      <c r="I59" s="190"/>
      <c r="J59" s="190"/>
      <c r="K59" s="190"/>
      <c r="L59" s="190"/>
      <c r="M59" s="190"/>
      <c r="N59" s="190"/>
      <c r="O59" s="186"/>
      <c r="P59" s="186"/>
      <c r="Q59" s="186"/>
      <c r="R59" s="186"/>
      <c r="S59" s="186"/>
      <c r="T59" s="186"/>
      <c r="U59" s="191"/>
      <c r="V59" s="191"/>
      <c r="W59" s="191"/>
      <c r="X59" s="171"/>
      <c r="Y59" s="160"/>
      <c r="Z59" s="214"/>
    </row>
    <row r="60" spans="2:26" s="175" customFormat="1" ht="15.95" customHeight="1" x14ac:dyDescent="0.2">
      <c r="B60" s="175" t="s">
        <v>388</v>
      </c>
      <c r="U60" s="451">
        <f>U32-U50+SUM(U54:W58)</f>
        <v>0</v>
      </c>
      <c r="V60" s="451"/>
      <c r="W60" s="451"/>
      <c r="X60" s="193"/>
      <c r="Y60" s="162"/>
      <c r="Z60" s="214" t="s">
        <v>333</v>
      </c>
    </row>
    <row r="61" spans="2:26" s="175" customFormat="1" ht="15.95" customHeight="1" x14ac:dyDescent="0.2">
      <c r="U61" s="192"/>
      <c r="V61" s="192"/>
      <c r="W61" s="192"/>
      <c r="X61" s="193"/>
      <c r="Y61" s="162"/>
      <c r="Z61" s="214"/>
    </row>
    <row r="62" spans="2:26" s="175" customFormat="1" ht="15.95" customHeight="1" x14ac:dyDescent="0.2">
      <c r="B62" s="175" t="s">
        <v>389</v>
      </c>
      <c r="U62" s="451">
        <f>U60</f>
        <v>0</v>
      </c>
      <c r="V62" s="451"/>
      <c r="W62" s="451"/>
      <c r="X62" s="193"/>
      <c r="Y62" s="162"/>
      <c r="Z62" s="310" t="s">
        <v>277</v>
      </c>
    </row>
    <row r="63" spans="2:26" s="175" customFormat="1" ht="15.95" customHeight="1" x14ac:dyDescent="0.2">
      <c r="U63" s="392"/>
      <c r="V63" s="392"/>
      <c r="W63" s="392"/>
      <c r="X63" s="193"/>
      <c r="Y63" s="162"/>
      <c r="Z63" s="393"/>
    </row>
    <row r="64" spans="2:26" s="68" customFormat="1" ht="20.100000000000001" customHeight="1" x14ac:dyDescent="0.2">
      <c r="B64" s="468" t="s">
        <v>391</v>
      </c>
      <c r="C64" s="468"/>
      <c r="D64" s="468"/>
      <c r="E64" s="468"/>
      <c r="F64" s="468"/>
      <c r="G64" s="468"/>
      <c r="H64" s="468"/>
      <c r="I64" s="468"/>
      <c r="J64" s="468"/>
      <c r="K64" s="468"/>
      <c r="L64" s="468"/>
      <c r="M64" s="468"/>
      <c r="N64" s="468"/>
      <c r="O64" s="468"/>
      <c r="P64" s="468"/>
      <c r="Q64" s="468"/>
      <c r="R64" s="468"/>
      <c r="S64" s="468"/>
      <c r="T64" s="468"/>
      <c r="U64" s="468"/>
      <c r="V64" s="468"/>
      <c r="W64" s="468"/>
      <c r="X64" s="468"/>
      <c r="Y64" s="150"/>
      <c r="Z64" s="391"/>
    </row>
    <row r="65" spans="2:26" s="175" customFormat="1" ht="15.95" customHeight="1" x14ac:dyDescent="0.2">
      <c r="U65" s="392"/>
      <c r="V65" s="392"/>
      <c r="W65" s="392"/>
      <c r="X65" s="193"/>
      <c r="Y65" s="162"/>
      <c r="Z65" s="393"/>
    </row>
    <row r="66" spans="2:26" s="175" customFormat="1" ht="15.95" customHeight="1" x14ac:dyDescent="0.2">
      <c r="B66" s="395" t="s">
        <v>390</v>
      </c>
      <c r="U66" s="392"/>
      <c r="V66" s="392"/>
      <c r="W66" s="392"/>
      <c r="X66" s="193"/>
      <c r="Y66" s="162"/>
      <c r="Z66" s="458" t="s">
        <v>392</v>
      </c>
    </row>
    <row r="67" spans="2:26" s="175" customFormat="1" ht="15.95" customHeight="1" x14ac:dyDescent="0.2">
      <c r="B67" s="560" t="s">
        <v>169</v>
      </c>
      <c r="C67" s="560"/>
      <c r="D67" s="560"/>
      <c r="E67" s="560"/>
      <c r="F67" s="560"/>
      <c r="G67" s="560"/>
      <c r="H67" s="560"/>
      <c r="I67" s="560"/>
      <c r="J67" s="560"/>
      <c r="K67" s="560"/>
      <c r="L67" s="560"/>
      <c r="M67" s="560"/>
      <c r="N67" s="560"/>
      <c r="U67" s="557">
        <v>0</v>
      </c>
      <c r="V67" s="557"/>
      <c r="W67" s="557"/>
      <c r="X67" s="193" t="s">
        <v>163</v>
      </c>
      <c r="Y67" s="162"/>
      <c r="Z67" s="458"/>
    </row>
    <row r="68" spans="2:26" s="175" customFormat="1" ht="15.95" customHeight="1" x14ac:dyDescent="0.2">
      <c r="B68" s="560" t="s">
        <v>170</v>
      </c>
      <c r="C68" s="560"/>
      <c r="D68" s="560"/>
      <c r="E68" s="560"/>
      <c r="F68" s="560"/>
      <c r="G68" s="560"/>
      <c r="H68" s="560"/>
      <c r="I68" s="560"/>
      <c r="J68" s="560"/>
      <c r="K68" s="560"/>
      <c r="L68" s="560"/>
      <c r="M68" s="560"/>
      <c r="N68" s="560"/>
      <c r="U68" s="557">
        <v>0</v>
      </c>
      <c r="V68" s="557"/>
      <c r="W68" s="557"/>
      <c r="X68" s="193" t="s">
        <v>163</v>
      </c>
      <c r="Y68" s="162"/>
      <c r="Z68" s="458"/>
    </row>
    <row r="69" spans="2:26" s="175" customFormat="1" ht="15.95" customHeight="1" x14ac:dyDescent="0.2">
      <c r="B69" s="560" t="s">
        <v>171</v>
      </c>
      <c r="C69" s="560"/>
      <c r="D69" s="560"/>
      <c r="E69" s="560"/>
      <c r="F69" s="560"/>
      <c r="G69" s="560"/>
      <c r="H69" s="560"/>
      <c r="I69" s="560"/>
      <c r="J69" s="560"/>
      <c r="K69" s="560"/>
      <c r="L69" s="560"/>
      <c r="M69" s="560"/>
      <c r="N69" s="560"/>
      <c r="U69" s="557">
        <v>0</v>
      </c>
      <c r="V69" s="557"/>
      <c r="W69" s="557"/>
      <c r="X69" s="193" t="s">
        <v>163</v>
      </c>
      <c r="Y69" s="162"/>
      <c r="Z69" s="458"/>
    </row>
    <row r="70" spans="2:26" s="175" customFormat="1" ht="15.95" customHeight="1" x14ac:dyDescent="0.2">
      <c r="B70" s="560" t="s">
        <v>172</v>
      </c>
      <c r="C70" s="560"/>
      <c r="D70" s="560"/>
      <c r="E70" s="560"/>
      <c r="F70" s="560"/>
      <c r="G70" s="560"/>
      <c r="H70" s="560"/>
      <c r="I70" s="560"/>
      <c r="J70" s="560"/>
      <c r="K70" s="560"/>
      <c r="L70" s="560"/>
      <c r="M70" s="560"/>
      <c r="N70" s="560"/>
      <c r="U70" s="557">
        <v>0</v>
      </c>
      <c r="V70" s="557"/>
      <c r="W70" s="557"/>
      <c r="X70" s="193" t="s">
        <v>163</v>
      </c>
      <c r="Y70" s="162"/>
      <c r="Z70" s="458"/>
    </row>
    <row r="71" spans="2:26" s="175" customFormat="1" ht="15.95" customHeight="1" x14ac:dyDescent="0.2">
      <c r="B71" s="560" t="s">
        <v>214</v>
      </c>
      <c r="C71" s="560"/>
      <c r="D71" s="560"/>
      <c r="E71" s="560"/>
      <c r="F71" s="560"/>
      <c r="G71" s="560"/>
      <c r="H71" s="560"/>
      <c r="I71" s="560"/>
      <c r="J71" s="560"/>
      <c r="K71" s="560"/>
      <c r="L71" s="560"/>
      <c r="M71" s="560"/>
      <c r="N71" s="560"/>
      <c r="U71" s="570">
        <v>0</v>
      </c>
      <c r="V71" s="570"/>
      <c r="W71" s="570"/>
      <c r="X71" s="396" t="s">
        <v>163</v>
      </c>
      <c r="Y71" s="162"/>
      <c r="Z71" s="458"/>
    </row>
    <row r="72" spans="2:26" s="175" customFormat="1" ht="15.95" customHeight="1" x14ac:dyDescent="0.2">
      <c r="U72" s="392"/>
      <c r="V72" s="392"/>
      <c r="W72" s="392"/>
      <c r="X72" s="193"/>
      <c r="Y72" s="162"/>
      <c r="Z72" s="393"/>
    </row>
    <row r="73" spans="2:26" s="175" customFormat="1" ht="15.95" customHeight="1" x14ac:dyDescent="0.2">
      <c r="B73" s="175" t="s">
        <v>62</v>
      </c>
      <c r="U73" s="451">
        <f>IF(U62-SUM(U67:U71)&lt;0,0,U62-SUM(U67:U71))</f>
        <v>0</v>
      </c>
      <c r="V73" s="451"/>
      <c r="W73" s="451"/>
      <c r="X73" s="193"/>
      <c r="Y73" s="162"/>
      <c r="Z73" s="393"/>
    </row>
    <row r="74" spans="2:26" s="175" customFormat="1" ht="15.95" customHeight="1" x14ac:dyDescent="0.2">
      <c r="U74" s="392"/>
      <c r="V74" s="392"/>
      <c r="W74" s="392"/>
      <c r="X74" s="193"/>
      <c r="Y74" s="162"/>
      <c r="Z74" s="393"/>
    </row>
    <row r="75" spans="2:26" s="68" customFormat="1" ht="20.100000000000001" customHeight="1" x14ac:dyDescent="0.2">
      <c r="B75" s="468" t="s">
        <v>267</v>
      </c>
      <c r="C75" s="468"/>
      <c r="D75" s="468"/>
      <c r="E75" s="468"/>
      <c r="F75" s="468"/>
      <c r="G75" s="468"/>
      <c r="H75" s="468"/>
      <c r="I75" s="468"/>
      <c r="J75" s="468"/>
      <c r="K75" s="468"/>
      <c r="L75" s="468"/>
      <c r="M75" s="468"/>
      <c r="N75" s="468"/>
      <c r="O75" s="468"/>
      <c r="P75" s="468"/>
      <c r="Q75" s="468"/>
      <c r="R75" s="468"/>
      <c r="S75" s="468"/>
      <c r="T75" s="468"/>
      <c r="U75" s="468"/>
      <c r="V75" s="468"/>
      <c r="W75" s="468"/>
      <c r="X75" s="468"/>
      <c r="Y75" s="150"/>
      <c r="Z75" s="310"/>
    </row>
    <row r="76" spans="2:26" s="175" customFormat="1" ht="15.95" customHeight="1" x14ac:dyDescent="0.2">
      <c r="U76" s="192"/>
      <c r="V76" s="192"/>
      <c r="W76" s="192"/>
      <c r="X76" s="193"/>
      <c r="Y76" s="162"/>
      <c r="Z76" s="572" t="s">
        <v>376</v>
      </c>
    </row>
    <row r="77" spans="2:26" ht="15.95" customHeight="1" x14ac:dyDescent="0.2">
      <c r="B77" s="169" t="s">
        <v>60</v>
      </c>
      <c r="I77" s="198"/>
      <c r="J77" s="174" t="str">
        <f>"Person" &amp; IF(I77&lt;&gt;1,"en "," ") &amp; "(inkl. in Jugendhilfe untergebrachte Kinder)"</f>
        <v>Personen (inkl. in Jugendhilfe untergebrachte Kinder)</v>
      </c>
      <c r="N77" s="195"/>
      <c r="Y77" s="160"/>
      <c r="Z77" s="572"/>
    </row>
    <row r="78" spans="2:26" ht="15.95" customHeight="1" x14ac:dyDescent="0.2">
      <c r="B78" s="379" t="str">
        <f>IF(I77&lt;2,"Es muss mindestens 2 eingetragen werden (untergebrachter JM + mind. 1 weiterer Berechtigter).","")</f>
        <v>Es muss mindestens 2 eingetragen werden (untergebrachter JM + mind. 1 weiterer Berechtigter).</v>
      </c>
      <c r="Y78" s="160"/>
      <c r="Z78" s="572"/>
    </row>
    <row r="79" spans="2:26" ht="15.95" customHeight="1" x14ac:dyDescent="0.2">
      <c r="B79" s="174" t="s">
        <v>268</v>
      </c>
      <c r="N79" s="193">
        <f>DTParameter!C18</f>
        <v>1</v>
      </c>
      <c r="O79" s="174" t="str">
        <f>"(" &amp;DTParameter!D18 &amp; ")"</f>
        <v>(0 - 1500 €)</v>
      </c>
      <c r="Y79" s="160"/>
      <c r="Z79" s="572"/>
    </row>
    <row r="80" spans="2:26" ht="15.95" customHeight="1" x14ac:dyDescent="0.2">
      <c r="B80" s="174" t="s">
        <v>232</v>
      </c>
      <c r="N80" s="198"/>
      <c r="O80" s="196" t="s">
        <v>269</v>
      </c>
      <c r="Y80" s="160"/>
      <c r="Z80" s="458" t="s">
        <v>233</v>
      </c>
    </row>
    <row r="81" spans="2:26" ht="8.1" customHeight="1" x14ac:dyDescent="0.2">
      <c r="Y81" s="160"/>
      <c r="Z81" s="458"/>
    </row>
    <row r="82" spans="2:26" ht="15.95" customHeight="1" x14ac:dyDescent="0.2">
      <c r="N82" s="390" t="str">
        <f>IF(OR(N80&gt;MAX(DTParameter!A:A),N80&lt;1),"Ein/-Umgruppierung fehlt/falsch!","")</f>
        <v>Ein/-Umgruppierung fehlt/falsch!</v>
      </c>
      <c r="Y82" s="160"/>
      <c r="Z82" s="214"/>
    </row>
    <row r="83" spans="2:26" ht="15.95" customHeight="1" x14ac:dyDescent="0.2">
      <c r="B83" s="197" t="s">
        <v>356</v>
      </c>
      <c r="C83" s="169"/>
      <c r="D83" s="169"/>
      <c r="E83" s="169"/>
      <c r="F83" s="169"/>
      <c r="G83" s="169"/>
      <c r="H83" s="169"/>
      <c r="I83" s="169"/>
      <c r="J83" s="169"/>
      <c r="K83" s="169"/>
      <c r="L83" s="169"/>
      <c r="M83" s="169"/>
      <c r="N83" s="169"/>
      <c r="O83" s="169"/>
      <c r="P83" s="169"/>
      <c r="Q83" s="169"/>
      <c r="R83" s="169"/>
      <c r="S83" s="169"/>
      <c r="T83" s="169"/>
      <c r="U83" s="169"/>
      <c r="V83" s="169"/>
      <c r="W83" s="169"/>
      <c r="X83" s="171"/>
      <c r="Y83" s="160"/>
      <c r="Z83" s="465" t="s">
        <v>31</v>
      </c>
    </row>
    <row r="84" spans="2:26" ht="15.95" customHeight="1" x14ac:dyDescent="0.2">
      <c r="B84" s="169" t="s">
        <v>357</v>
      </c>
      <c r="C84" s="169"/>
      <c r="D84" s="169"/>
      <c r="E84" s="169"/>
      <c r="F84" s="169"/>
      <c r="G84" s="169"/>
      <c r="H84" s="169"/>
      <c r="I84" s="169"/>
      <c r="J84" s="169"/>
      <c r="K84" s="169"/>
      <c r="L84" s="169"/>
      <c r="M84" s="169"/>
      <c r="N84" s="169"/>
      <c r="O84" s="169"/>
      <c r="P84" s="169"/>
      <c r="Q84" s="169"/>
      <c r="R84" s="169"/>
      <c r="S84" s="169"/>
      <c r="T84" s="169"/>
      <c r="U84" s="169"/>
      <c r="V84" s="169"/>
      <c r="W84" s="169"/>
      <c r="X84" s="171"/>
      <c r="Y84" s="160"/>
      <c r="Z84" s="465"/>
    </row>
    <row r="85" spans="2:26" ht="15.95" customHeight="1" x14ac:dyDescent="0.2">
      <c r="B85" s="197"/>
      <c r="C85" s="169"/>
      <c r="D85" s="169"/>
      <c r="E85" s="169"/>
      <c r="F85" s="169"/>
      <c r="G85" s="169"/>
      <c r="H85" s="169"/>
      <c r="I85" s="169"/>
      <c r="J85" s="169"/>
      <c r="K85" s="169"/>
      <c r="L85" s="169"/>
      <c r="M85" s="169"/>
      <c r="N85" s="169"/>
      <c r="O85" s="169"/>
      <c r="P85" s="169"/>
      <c r="Q85" s="169"/>
      <c r="R85" s="169"/>
      <c r="S85" s="169"/>
      <c r="T85" s="169"/>
      <c r="U85" s="169"/>
      <c r="V85" s="169"/>
      <c r="W85" s="169"/>
      <c r="X85" s="171"/>
      <c r="Y85" s="160"/>
      <c r="Z85" s="465"/>
    </row>
    <row r="86" spans="2:26" s="196" customFormat="1" ht="15.95" customHeight="1" x14ac:dyDescent="0.2">
      <c r="B86" s="491" t="s">
        <v>234</v>
      </c>
      <c r="C86" s="492"/>
      <c r="D86" s="492"/>
      <c r="E86" s="493" t="s">
        <v>235</v>
      </c>
      <c r="F86" s="494"/>
      <c r="G86" s="493" t="s">
        <v>270</v>
      </c>
      <c r="H86" s="495"/>
      <c r="I86" s="496" t="s">
        <v>410</v>
      </c>
      <c r="J86" s="492"/>
      <c r="K86" s="497"/>
      <c r="L86" s="489" t="s">
        <v>103</v>
      </c>
      <c r="M86" s="490"/>
      <c r="N86" s="489" t="s">
        <v>236</v>
      </c>
      <c r="O86" s="490"/>
      <c r="P86" s="567" t="s">
        <v>237</v>
      </c>
      <c r="Q86" s="568"/>
      <c r="R86" s="568"/>
      <c r="S86" s="357"/>
      <c r="T86" s="565"/>
      <c r="U86" s="565"/>
      <c r="V86" s="565"/>
      <c r="W86" s="565"/>
      <c r="X86" s="565"/>
      <c r="Y86" s="160"/>
      <c r="Z86" s="465"/>
    </row>
    <row r="87" spans="2:26" s="196" customFormat="1" ht="15.95" customHeight="1" x14ac:dyDescent="0.2">
      <c r="B87" s="482" t="s">
        <v>238</v>
      </c>
      <c r="C87" s="483"/>
      <c r="D87" s="483"/>
      <c r="E87" s="484"/>
      <c r="F87" s="485"/>
      <c r="G87" s="484" t="str">
        <f>"Gruppe " &amp; N80</f>
        <v xml:space="preserve">Gruppe </v>
      </c>
      <c r="H87" s="486"/>
      <c r="I87" s="487" t="s">
        <v>411</v>
      </c>
      <c r="J87" s="483"/>
      <c r="K87" s="488"/>
      <c r="L87" s="516" t="s">
        <v>253</v>
      </c>
      <c r="M87" s="517"/>
      <c r="N87" s="516" t="s">
        <v>239</v>
      </c>
      <c r="O87" s="517"/>
      <c r="P87" s="549" t="s">
        <v>240</v>
      </c>
      <c r="Q87" s="550"/>
      <c r="R87" s="550"/>
      <c r="S87" s="358"/>
      <c r="T87" s="565"/>
      <c r="U87" s="565"/>
      <c r="V87" s="565"/>
      <c r="W87" s="565"/>
      <c r="X87" s="565"/>
      <c r="Y87" s="160"/>
      <c r="Z87" s="465"/>
    </row>
    <row r="88" spans="2:26" s="196" customFormat="1" ht="15.95" customHeight="1" x14ac:dyDescent="0.2">
      <c r="B88" s="199"/>
      <c r="C88" s="200"/>
      <c r="D88" s="200"/>
      <c r="E88" s="452"/>
      <c r="F88" s="453"/>
      <c r="G88" s="452" t="s">
        <v>271</v>
      </c>
      <c r="H88" s="454"/>
      <c r="I88" s="455"/>
      <c r="J88" s="456"/>
      <c r="K88" s="457"/>
      <c r="L88" s="499" t="s">
        <v>254</v>
      </c>
      <c r="M88" s="500"/>
      <c r="N88" s="499" t="s">
        <v>163</v>
      </c>
      <c r="O88" s="500"/>
      <c r="P88" s="555"/>
      <c r="Q88" s="556"/>
      <c r="R88" s="556"/>
      <c r="S88" s="359"/>
      <c r="T88" s="565"/>
      <c r="U88" s="565"/>
      <c r="V88" s="565"/>
      <c r="W88" s="565"/>
      <c r="X88" s="565"/>
      <c r="Y88" s="160"/>
      <c r="Z88" s="214"/>
    </row>
    <row r="89" spans="2:26" ht="15.95" customHeight="1" x14ac:dyDescent="0.2">
      <c r="B89" s="558"/>
      <c r="C89" s="559"/>
      <c r="D89" s="559"/>
      <c r="E89" s="525"/>
      <c r="F89" s="526"/>
      <c r="G89" s="523" t="str">
        <f>IF(GebDatW1&lt;&gt;0,DTParameter!E24,"")</f>
        <v/>
      </c>
      <c r="H89" s="524"/>
      <c r="I89" s="355" t="str">
        <f>IF(GebDatW1&lt;&gt;"",VLOOKUP(Dropdownfelder!B52,Dropdownfelder!A41:D49,4),"")</f>
        <v/>
      </c>
      <c r="J89" s="543" t="str">
        <f>IF(GebDatW1&lt;&gt;"",VLOOKUP(Dropdownfelder!B52,Dropdownfelder!A41:D49,3),"")</f>
        <v/>
      </c>
      <c r="K89" s="544"/>
      <c r="L89" s="545">
        <v>0</v>
      </c>
      <c r="M89" s="545"/>
      <c r="N89" s="545">
        <v>0</v>
      </c>
      <c r="O89" s="545"/>
      <c r="P89" s="553" t="str">
        <f>IF(AND(GebDatW1&lt;&gt;"",N80&gt;0,U73&gt;0)=TRUE,IF(OR(L89="",L89=0)=TRUE,IF(G89+J89-N89&lt;0,0,G89+J89-N89),IF(L89-N89&lt;0,0,L89-N89)),"")</f>
        <v/>
      </c>
      <c r="Q89" s="554"/>
      <c r="R89" s="554"/>
      <c r="S89" s="356"/>
      <c r="T89" s="566"/>
      <c r="U89" s="565"/>
      <c r="V89" s="565"/>
      <c r="W89" s="565"/>
      <c r="X89" s="565"/>
      <c r="Y89" s="160"/>
      <c r="Z89" s="458" t="s">
        <v>278</v>
      </c>
    </row>
    <row r="90" spans="2:26" ht="15.95" customHeight="1" x14ac:dyDescent="0.2">
      <c r="B90" s="519"/>
      <c r="C90" s="520"/>
      <c r="D90" s="520"/>
      <c r="E90" s="521"/>
      <c r="F90" s="522"/>
      <c r="G90" s="523" t="str">
        <f>IF(GebDatW2&lt;&gt;"",DTParameter!E25,"")</f>
        <v/>
      </c>
      <c r="H90" s="524"/>
      <c r="I90" s="202" t="str">
        <f>IF(GebDatW2&lt;&gt;"",VLOOKUP(Dropdownfelder!B53,Dropdownfelder!A41:D49,4),"")</f>
        <v/>
      </c>
      <c r="J90" s="541" t="str">
        <f>IF(GebDatW2&lt;&gt;"",VLOOKUP(Dropdownfelder!B53,Dropdownfelder!A41:D49,3),"")</f>
        <v/>
      </c>
      <c r="K90" s="542"/>
      <c r="L90" s="540">
        <v>0</v>
      </c>
      <c r="M90" s="540"/>
      <c r="N90" s="540">
        <v>0</v>
      </c>
      <c r="O90" s="540"/>
      <c r="P90" s="551" t="str">
        <f>IF(GebDatW2&lt;&gt;"",IF(OR(L90="",L90=0)=TRUE,IF(G90+J90-N90&lt;0,0,G90+J90-N90),IF(L90-N90&lt;0,0,L90-N90)),"")</f>
        <v/>
      </c>
      <c r="Q90" s="552"/>
      <c r="R90" s="552"/>
      <c r="S90" s="201" t="s">
        <v>162</v>
      </c>
      <c r="T90" s="566"/>
      <c r="U90" s="565"/>
      <c r="V90" s="565"/>
      <c r="W90" s="565"/>
      <c r="X90" s="565"/>
      <c r="Y90" s="160"/>
      <c r="Z90" s="458"/>
    </row>
    <row r="91" spans="2:26" ht="15.95" customHeight="1" x14ac:dyDescent="0.2">
      <c r="B91" s="519"/>
      <c r="C91" s="520"/>
      <c r="D91" s="520"/>
      <c r="E91" s="521"/>
      <c r="F91" s="522"/>
      <c r="G91" s="523" t="str">
        <f>IF(GebDatW3&lt;&gt;"",DTParameter!E26,"")</f>
        <v/>
      </c>
      <c r="H91" s="524"/>
      <c r="I91" s="202" t="str">
        <f>IF(GebDatW3&lt;&gt;"",VLOOKUP(Dropdownfelder!B54,Dropdownfelder!A41:D49,4),"")</f>
        <v/>
      </c>
      <c r="J91" s="541" t="str">
        <f>IF(GebDatW3&lt;&gt;"",VLOOKUP(Dropdownfelder!B54,Dropdownfelder!A41:D49,3),"")</f>
        <v/>
      </c>
      <c r="K91" s="542"/>
      <c r="L91" s="540">
        <v>0</v>
      </c>
      <c r="M91" s="540"/>
      <c r="N91" s="540">
        <v>0</v>
      </c>
      <c r="O91" s="540"/>
      <c r="P91" s="551" t="str">
        <f>IF(GebDatW3&lt;&gt;"",IF(OR(L91="",L91=0)=TRUE,IF(G91+J91-N91&lt;0,0,G91+J91-N91),IF(L91-N91&lt;0,0,L91-N91)),"")</f>
        <v/>
      </c>
      <c r="Q91" s="552"/>
      <c r="R91" s="552"/>
      <c r="S91" s="201" t="s">
        <v>162</v>
      </c>
      <c r="T91" s="566"/>
      <c r="U91" s="565"/>
      <c r="V91" s="565"/>
      <c r="W91" s="565"/>
      <c r="X91" s="565"/>
      <c r="Y91" s="160"/>
      <c r="Z91" s="458"/>
    </row>
    <row r="92" spans="2:26" ht="15.95" customHeight="1" x14ac:dyDescent="0.2">
      <c r="B92" s="519"/>
      <c r="C92" s="520"/>
      <c r="D92" s="520"/>
      <c r="E92" s="521"/>
      <c r="F92" s="522"/>
      <c r="G92" s="523" t="str">
        <f>IF(GebDatW4&lt;&gt;"",DTParameter!E27,"")</f>
        <v/>
      </c>
      <c r="H92" s="524"/>
      <c r="I92" s="202" t="str">
        <f>IF(GebDatW4&lt;&gt;"",VLOOKUP(Dropdownfelder!B55,Dropdownfelder!A41:D49,4),"")</f>
        <v/>
      </c>
      <c r="J92" s="541" t="str">
        <f>IF(GebDatW4&lt;&gt;"",VLOOKUP(Dropdownfelder!B55,Dropdownfelder!A41:D49,3),"")</f>
        <v/>
      </c>
      <c r="K92" s="542"/>
      <c r="L92" s="540">
        <v>0</v>
      </c>
      <c r="M92" s="540"/>
      <c r="N92" s="540">
        <v>0</v>
      </c>
      <c r="O92" s="540"/>
      <c r="P92" s="551" t="str">
        <f>IF(GebDatW4&lt;&gt;"",IF(OR(L92="",L92=0)=TRUE,IF(G92+J92-N92&lt;0,0,G92+J92-N92),IF(L92-N92&lt;0,0,L92-N92)),"")</f>
        <v/>
      </c>
      <c r="Q92" s="552"/>
      <c r="R92" s="552"/>
      <c r="S92" s="201" t="s">
        <v>162</v>
      </c>
      <c r="T92" s="566"/>
      <c r="U92" s="565"/>
      <c r="V92" s="565"/>
      <c r="W92" s="565"/>
      <c r="X92" s="565"/>
      <c r="Y92" s="160"/>
      <c r="Z92" s="458" t="s">
        <v>412</v>
      </c>
    </row>
    <row r="93" spans="2:26" ht="15.95" customHeight="1" x14ac:dyDescent="0.2">
      <c r="B93" s="519"/>
      <c r="C93" s="520"/>
      <c r="D93" s="520"/>
      <c r="E93" s="521"/>
      <c r="F93" s="522"/>
      <c r="G93" s="523" t="str">
        <f>IF(GebDatW5&lt;&gt;"",DTParameter!E28,"")</f>
        <v/>
      </c>
      <c r="H93" s="524"/>
      <c r="I93" s="202" t="str">
        <f>IF(GebDatW5&lt;&gt;"",VLOOKUP(Dropdownfelder!B56,Dropdownfelder!A41:D49,4),"")</f>
        <v/>
      </c>
      <c r="J93" s="541" t="str">
        <f>IF(GebDatW5&lt;&gt;"",VLOOKUP(Dropdownfelder!B56,Dropdownfelder!A41:D49,3),"")</f>
        <v/>
      </c>
      <c r="K93" s="542"/>
      <c r="L93" s="540">
        <v>0</v>
      </c>
      <c r="M93" s="540"/>
      <c r="N93" s="540">
        <v>0</v>
      </c>
      <c r="O93" s="540"/>
      <c r="P93" s="551" t="str">
        <f>IF(GebDatW5&lt;&gt;"",IF(OR(L93="",L93=0)=TRUE,IF(G93+J93-N93&lt;0,0,G93+J93-N93),IF(L93-N93&lt;0,0,L93-N93)),"")</f>
        <v/>
      </c>
      <c r="Q93" s="552"/>
      <c r="R93" s="552"/>
      <c r="S93" s="201" t="s">
        <v>162</v>
      </c>
      <c r="T93" s="566"/>
      <c r="U93" s="565"/>
      <c r="V93" s="565"/>
      <c r="W93" s="565"/>
      <c r="X93" s="565"/>
      <c r="Y93" s="160"/>
      <c r="Z93" s="458"/>
    </row>
    <row r="94" spans="2:26" ht="15.95" customHeight="1" x14ac:dyDescent="0.2">
      <c r="B94" s="519"/>
      <c r="C94" s="520"/>
      <c r="D94" s="520"/>
      <c r="E94" s="521"/>
      <c r="F94" s="522"/>
      <c r="G94" s="523" t="str">
        <f>IF(GebDatW6&lt;&gt;"",DTParameter!E29,"")</f>
        <v/>
      </c>
      <c r="H94" s="524"/>
      <c r="I94" s="202" t="str">
        <f>IF(GebDatW6&lt;&gt;"",VLOOKUP(Dropdownfelder!B57,Dropdownfelder!A41:D49,4),"")</f>
        <v/>
      </c>
      <c r="J94" s="541" t="str">
        <f>IF(GebDatW6&lt;&gt;"",VLOOKUP(Dropdownfelder!B57,Dropdownfelder!A41:D49,3),"")</f>
        <v/>
      </c>
      <c r="K94" s="542"/>
      <c r="L94" s="540">
        <v>0</v>
      </c>
      <c r="M94" s="540"/>
      <c r="N94" s="540">
        <v>0</v>
      </c>
      <c r="O94" s="540"/>
      <c r="P94" s="551" t="str">
        <f>IF(GebDatW6&lt;&gt;"",IF(OR(L94="",L94=0)=TRUE,IF(G94+J94-N94&lt;0,0,G94+J94-N94),IF(L94-N94&lt;0,0,L94-N94)),"")</f>
        <v/>
      </c>
      <c r="Q94" s="552"/>
      <c r="R94" s="552"/>
      <c r="S94" s="201" t="s">
        <v>162</v>
      </c>
      <c r="T94" s="566"/>
      <c r="U94" s="565"/>
      <c r="V94" s="565"/>
      <c r="W94" s="565"/>
      <c r="X94" s="565"/>
      <c r="Y94" s="160"/>
      <c r="Z94" s="458" t="s">
        <v>252</v>
      </c>
    </row>
    <row r="95" spans="2:26" ht="15.95" customHeight="1" x14ac:dyDescent="0.2">
      <c r="B95" s="519"/>
      <c r="C95" s="520"/>
      <c r="D95" s="520"/>
      <c r="E95" s="521"/>
      <c r="F95" s="522"/>
      <c r="G95" s="523" t="str">
        <f>IF(GebDatW7&lt;&gt;"",DTParameter!E30,"")</f>
        <v/>
      </c>
      <c r="H95" s="524"/>
      <c r="I95" s="202" t="str">
        <f>IF(GebDatW7&lt;&gt;"",VLOOKUP(Dropdownfelder!B58,Dropdownfelder!A41:D49,4),"")</f>
        <v/>
      </c>
      <c r="J95" s="541" t="str">
        <f>IF(GebDatW7&lt;&gt;"",VLOOKUP(Dropdownfelder!B58,Dropdownfelder!A41:D49,3),"")</f>
        <v/>
      </c>
      <c r="K95" s="542"/>
      <c r="L95" s="540">
        <v>0</v>
      </c>
      <c r="M95" s="540"/>
      <c r="N95" s="540">
        <v>0</v>
      </c>
      <c r="O95" s="540"/>
      <c r="P95" s="551" t="str">
        <f>IF(GebDatW7&lt;&gt;"",IF(OR(L95="",L95=0)=TRUE,IF(G95+J95-N95&lt;0,0,G95+J95-N95),IF(L95-N95&lt;0,0,L95-N95)),"")</f>
        <v/>
      </c>
      <c r="Q95" s="552"/>
      <c r="R95" s="552"/>
      <c r="S95" s="201" t="s">
        <v>162</v>
      </c>
      <c r="T95" s="566"/>
      <c r="U95" s="565"/>
      <c r="V95" s="565"/>
      <c r="W95" s="565"/>
      <c r="X95" s="565"/>
      <c r="Y95" s="160"/>
      <c r="Z95" s="458"/>
    </row>
    <row r="96" spans="2:26" ht="15.95" customHeight="1" x14ac:dyDescent="0.2">
      <c r="B96" s="519"/>
      <c r="C96" s="520"/>
      <c r="D96" s="520"/>
      <c r="E96" s="521"/>
      <c r="F96" s="522"/>
      <c r="G96" s="523" t="str">
        <f>IF(GebDatW8&lt;&gt;"",DTParameter!E31,"")</f>
        <v/>
      </c>
      <c r="H96" s="524"/>
      <c r="I96" s="202" t="str">
        <f>IF(GebDatW8&lt;&gt;"",VLOOKUP(Dropdownfelder!B59,Dropdownfelder!A41:D49,4),"")</f>
        <v/>
      </c>
      <c r="J96" s="541" t="str">
        <f>IF(GebDatW8&lt;&gt;"",VLOOKUP(Dropdownfelder!B59,Dropdownfelder!A41:D49,3),"")</f>
        <v/>
      </c>
      <c r="K96" s="542"/>
      <c r="L96" s="540">
        <v>0</v>
      </c>
      <c r="M96" s="540"/>
      <c r="N96" s="540">
        <v>0</v>
      </c>
      <c r="O96" s="540"/>
      <c r="P96" s="551" t="str">
        <f>IF(GebDatW8&lt;&gt;"",IF(OR(L96="",L96=0)=TRUE,IF(G96+J96-N96&lt;0,0,G96+J96-N96),IF(L96-N96&lt;0,0,L96-N96)),"")</f>
        <v/>
      </c>
      <c r="Q96" s="552"/>
      <c r="R96" s="552"/>
      <c r="S96" s="201" t="s">
        <v>162</v>
      </c>
      <c r="T96" s="566"/>
      <c r="U96" s="565"/>
      <c r="V96" s="565"/>
      <c r="W96" s="565"/>
      <c r="X96" s="565"/>
      <c r="Y96" s="160"/>
      <c r="Z96" s="458"/>
    </row>
    <row r="97" spans="2:26" ht="15.95" customHeight="1" x14ac:dyDescent="0.2">
      <c r="B97" s="519"/>
      <c r="C97" s="520"/>
      <c r="D97" s="520"/>
      <c r="E97" s="521"/>
      <c r="F97" s="522"/>
      <c r="G97" s="523" t="str">
        <f>IF(GebDatW9&lt;&gt;"",DTParameter!E32,"")</f>
        <v/>
      </c>
      <c r="H97" s="524"/>
      <c r="I97" s="202" t="str">
        <f>IF(GebDatW9&lt;&gt;"",VLOOKUP(Dropdownfelder!B60,Dropdownfelder!A41:D49,4),"")</f>
        <v/>
      </c>
      <c r="J97" s="541" t="str">
        <f>IF(GebDatW9&lt;&gt;"",VLOOKUP(Dropdownfelder!B60,Dropdownfelder!A41:D49,3),"")</f>
        <v/>
      </c>
      <c r="K97" s="542"/>
      <c r="L97" s="540">
        <v>0</v>
      </c>
      <c r="M97" s="540"/>
      <c r="N97" s="540">
        <v>0</v>
      </c>
      <c r="O97" s="540"/>
      <c r="P97" s="551" t="str">
        <f>IF(GebDatW9&lt;&gt;"",IF(OR(L97="",L97=0)=TRUE,IF(G97+J97-N97&lt;0,0,G97+J97-N97),IF(L97-N97&lt;0,0,L97-N97)),"")</f>
        <v/>
      </c>
      <c r="Q97" s="552"/>
      <c r="R97" s="552"/>
      <c r="S97" s="201" t="s">
        <v>162</v>
      </c>
      <c r="T97" s="566"/>
      <c r="U97" s="565"/>
      <c r="V97" s="565"/>
      <c r="W97" s="565"/>
      <c r="X97" s="565"/>
      <c r="Y97" s="160"/>
      <c r="Z97" s="458" t="s">
        <v>279</v>
      </c>
    </row>
    <row r="98" spans="2:26" ht="15.95" customHeight="1" x14ac:dyDescent="0.2">
      <c r="B98" s="519"/>
      <c r="C98" s="520"/>
      <c r="D98" s="520"/>
      <c r="E98" s="521"/>
      <c r="F98" s="522"/>
      <c r="G98" s="561" t="str">
        <f>IF(GebDatW10&lt;&gt;"",DTParameter!E33,"")</f>
        <v/>
      </c>
      <c r="H98" s="562"/>
      <c r="I98" s="202" t="str">
        <f>IF(GebDatW10&lt;&gt;"",VLOOKUP(Dropdownfelder!B61,Dropdownfelder!A41:D49,4),"")</f>
        <v/>
      </c>
      <c r="J98" s="541" t="str">
        <f>IF(GebDatW10&lt;&gt;"",VLOOKUP(Dropdownfelder!B61,Dropdownfelder!A41:D49,3),"")</f>
        <v/>
      </c>
      <c r="K98" s="542"/>
      <c r="L98" s="540">
        <v>0</v>
      </c>
      <c r="M98" s="540"/>
      <c r="N98" s="540">
        <v>0</v>
      </c>
      <c r="O98" s="540"/>
      <c r="P98" s="551" t="str">
        <f>IF(GebDatW10&lt;&gt;"",IF(OR(L98="",L98=0)=TRUE,IF(G98+J98-N98&lt;0,0,G98+J98-N98),IF(L98-N98&lt;0,0,L98-N98)),"")</f>
        <v/>
      </c>
      <c r="Q98" s="552"/>
      <c r="R98" s="552"/>
      <c r="S98" s="201" t="s">
        <v>162</v>
      </c>
      <c r="T98" s="566"/>
      <c r="U98" s="565"/>
      <c r="V98" s="565"/>
      <c r="W98" s="565"/>
      <c r="X98" s="565"/>
      <c r="Y98" s="160"/>
      <c r="Z98" s="458"/>
    </row>
    <row r="99" spans="2:26" ht="3.95" customHeight="1" x14ac:dyDescent="0.2">
      <c r="B99" s="208"/>
      <c r="C99" s="208"/>
      <c r="D99" s="208"/>
      <c r="E99" s="209"/>
      <c r="F99" s="209"/>
      <c r="G99" s="203"/>
      <c r="H99" s="203"/>
      <c r="I99" s="195"/>
      <c r="J99" s="204"/>
      <c r="K99" s="204"/>
      <c r="L99" s="210"/>
      <c r="M99" s="210"/>
      <c r="N99" s="210"/>
      <c r="O99" s="210"/>
      <c r="P99" s="173"/>
      <c r="Q99" s="173"/>
      <c r="R99" s="173"/>
      <c r="S99" s="171"/>
      <c r="T99" s="171"/>
      <c r="U99" s="171"/>
      <c r="V99" s="171"/>
      <c r="W99" s="171"/>
      <c r="X99" s="171"/>
      <c r="Y99" s="160"/>
      <c r="Z99" s="214"/>
    </row>
    <row r="100" spans="2:26" ht="15.95" customHeight="1" x14ac:dyDescent="0.2">
      <c r="B100" s="175" t="s">
        <v>367</v>
      </c>
      <c r="P100" s="451">
        <f>SUM(P89:R98)</f>
        <v>0</v>
      </c>
      <c r="Q100" s="451"/>
      <c r="R100" s="451"/>
      <c r="U100" s="467">
        <f>P100</f>
        <v>0</v>
      </c>
      <c r="V100" s="467"/>
      <c r="W100" s="467"/>
      <c r="X100" s="176" t="s">
        <v>163</v>
      </c>
      <c r="Y100" s="160"/>
      <c r="Z100" s="214"/>
    </row>
    <row r="101" spans="2:26" ht="8.1" customHeight="1" x14ac:dyDescent="0.2">
      <c r="Y101" s="160"/>
      <c r="Z101" s="214"/>
    </row>
    <row r="102" spans="2:26" ht="15.95" customHeight="1" x14ac:dyDescent="0.2">
      <c r="B102" s="174" t="s">
        <v>358</v>
      </c>
      <c r="U102" s="563">
        <f>DTParameter!D37</f>
        <v>1080</v>
      </c>
      <c r="V102" s="564"/>
      <c r="W102" s="564"/>
      <c r="X102" s="189" t="s">
        <v>163</v>
      </c>
      <c r="Y102" s="160"/>
      <c r="Z102" s="466" t="str">
        <f>"OLG-Leitlinien: Derzeit beläuft sich der Selbstbehalt des vollzeit Erwerbstätigen auf " &amp; DTParameter!D37 &amp; " EUR und des nicht erwerbstätigen Pflichtigen auf " &amp; DTParameter!D39 &amp; " EUR. Lebt der Kostenbeitragspflichtige mit einem leistungsfähigen Partner zusammen, kommt eine 10%ige Kürzung wg. Haushaltsersparnis in Betracht. Ist der Pflichtige teilzeit erwerbstätig, muss der Betrag manuell eingegeben werden."</f>
        <v>OLG-Leitlinien: Derzeit beläuft sich der Selbstbehalt des vollzeit Erwerbstätigen auf 1080 EUR und des nicht erwerbstätigen Pflichtigen auf 880 EUR. Lebt der Kostenbeitragspflichtige mit einem leistungsfähigen Partner zusammen, kommt eine 10%ige Kürzung wg. Haushaltsersparnis in Betracht. Ist der Pflichtige teilzeit erwerbstätig, muss der Betrag manuell eingegeben werden.</v>
      </c>
    </row>
    <row r="103" spans="2:26" ht="3.95" customHeight="1" x14ac:dyDescent="0.2">
      <c r="U103" s="191"/>
      <c r="V103" s="191"/>
      <c r="W103" s="191"/>
      <c r="X103" s="171"/>
      <c r="Y103" s="160"/>
      <c r="Z103" s="466"/>
    </row>
    <row r="104" spans="2:26" ht="15.95" customHeight="1" x14ac:dyDescent="0.2">
      <c r="B104" s="174" t="s">
        <v>359</v>
      </c>
      <c r="U104" s="451">
        <f>IF(U73-U100-U102&lt;0,0,U73-U100-U102)</f>
        <v>0</v>
      </c>
      <c r="V104" s="451"/>
      <c r="W104" s="451"/>
      <c r="X104" s="171"/>
      <c r="Y104" s="160"/>
      <c r="Z104" s="466"/>
    </row>
    <row r="105" spans="2:26" ht="15.95" customHeight="1" x14ac:dyDescent="0.2">
      <c r="U105" s="192"/>
      <c r="V105" s="192"/>
      <c r="W105" s="192"/>
      <c r="X105" s="171"/>
      <c r="Y105" s="160"/>
      <c r="Z105" s="466"/>
    </row>
    <row r="106" spans="2:26" ht="15.95" customHeight="1" x14ac:dyDescent="0.2">
      <c r="U106" s="191"/>
      <c r="V106" s="191"/>
      <c r="W106" s="191"/>
      <c r="X106" s="171"/>
      <c r="Y106" s="160"/>
      <c r="Z106" s="466"/>
    </row>
    <row r="107" spans="2:26" ht="15.95" customHeight="1" x14ac:dyDescent="0.2">
      <c r="B107" s="197" t="s">
        <v>360</v>
      </c>
      <c r="U107" s="191"/>
      <c r="V107" s="191"/>
      <c r="W107" s="191"/>
      <c r="X107" s="171"/>
      <c r="Y107" s="160"/>
      <c r="Z107" s="215"/>
    </row>
    <row r="108" spans="2:26" ht="15.95" customHeight="1" x14ac:dyDescent="0.2">
      <c r="B108" s="169" t="s">
        <v>361</v>
      </c>
      <c r="U108" s="191"/>
      <c r="V108" s="191"/>
      <c r="W108" s="191"/>
      <c r="X108" s="171"/>
      <c r="Y108" s="160"/>
      <c r="Z108" s="215"/>
    </row>
    <row r="109" spans="2:26" ht="15.95" customHeight="1" x14ac:dyDescent="0.2">
      <c r="B109" s="169"/>
      <c r="U109" s="191"/>
      <c r="V109" s="191"/>
      <c r="W109" s="191"/>
      <c r="X109" s="171"/>
      <c r="Y109" s="160"/>
      <c r="Z109" s="215"/>
    </row>
    <row r="110" spans="2:26" s="362" customFormat="1" ht="12.75" customHeight="1" x14ac:dyDescent="0.2">
      <c r="B110" s="518" t="s">
        <v>362</v>
      </c>
      <c r="C110" s="518"/>
      <c r="D110" s="518"/>
      <c r="E110" s="518"/>
      <c r="F110" s="518"/>
      <c r="G110" s="527" t="s">
        <v>363</v>
      </c>
      <c r="H110" s="528"/>
      <c r="I110" s="528"/>
      <c r="J110" s="528"/>
      <c r="K110" s="529"/>
      <c r="L110" s="515" t="s">
        <v>364</v>
      </c>
      <c r="M110" s="515"/>
      <c r="N110" s="515" t="s">
        <v>365</v>
      </c>
      <c r="O110" s="515"/>
      <c r="P110" s="459" t="s">
        <v>366</v>
      </c>
      <c r="Q110" s="460"/>
      <c r="R110" s="460"/>
      <c r="S110" s="363"/>
      <c r="X110" s="360"/>
      <c r="Y110" s="361"/>
      <c r="Z110" s="466" t="s">
        <v>35</v>
      </c>
    </row>
    <row r="111" spans="2:26" s="362" customFormat="1" ht="12.75" x14ac:dyDescent="0.2">
      <c r="B111" s="518"/>
      <c r="C111" s="518"/>
      <c r="D111" s="518"/>
      <c r="E111" s="518"/>
      <c r="F111" s="518"/>
      <c r="G111" s="530"/>
      <c r="H111" s="531"/>
      <c r="I111" s="531"/>
      <c r="J111" s="531"/>
      <c r="K111" s="532"/>
      <c r="L111" s="515"/>
      <c r="M111" s="515"/>
      <c r="N111" s="515"/>
      <c r="O111" s="515"/>
      <c r="P111" s="461"/>
      <c r="Q111" s="462"/>
      <c r="R111" s="462"/>
      <c r="S111" s="364"/>
      <c r="X111" s="360"/>
      <c r="Y111" s="361"/>
      <c r="Z111" s="466"/>
    </row>
    <row r="112" spans="2:26" s="362" customFormat="1" ht="12.75" x14ac:dyDescent="0.2">
      <c r="B112" s="518"/>
      <c r="C112" s="518"/>
      <c r="D112" s="518"/>
      <c r="E112" s="518"/>
      <c r="F112" s="518"/>
      <c r="G112" s="533"/>
      <c r="H112" s="534"/>
      <c r="I112" s="534"/>
      <c r="J112" s="534"/>
      <c r="K112" s="535"/>
      <c r="L112" s="515"/>
      <c r="M112" s="515"/>
      <c r="N112" s="515"/>
      <c r="O112" s="515"/>
      <c r="P112" s="463"/>
      <c r="Q112" s="464"/>
      <c r="R112" s="464"/>
      <c r="S112" s="365"/>
      <c r="X112" s="360"/>
      <c r="Y112" s="361"/>
      <c r="Z112" s="466"/>
    </row>
    <row r="113" spans="2:26" ht="15.95" customHeight="1" x14ac:dyDescent="0.2">
      <c r="B113" s="478"/>
      <c r="C113" s="479"/>
      <c r="D113" s="479"/>
      <c r="E113" s="479"/>
      <c r="F113" s="498"/>
      <c r="G113" s="478"/>
      <c r="H113" s="479"/>
      <c r="I113" s="479"/>
      <c r="J113" s="479"/>
      <c r="K113" s="498"/>
      <c r="L113" s="480">
        <v>0</v>
      </c>
      <c r="M113" s="481"/>
      <c r="N113" s="480">
        <v>0</v>
      </c>
      <c r="O113" s="481"/>
      <c r="P113" s="474">
        <f>IF(B113&lt;&gt;"",IF(L113-N113&lt;0,0,L113-N113),0)</f>
        <v>0</v>
      </c>
      <c r="Q113" s="475"/>
      <c r="R113" s="475"/>
      <c r="S113" s="366"/>
      <c r="T113" s="476"/>
      <c r="U113" s="477"/>
      <c r="V113" s="477"/>
      <c r="W113" s="477"/>
      <c r="X113" s="171"/>
      <c r="Y113" s="160"/>
      <c r="Z113" s="215"/>
    </row>
    <row r="114" spans="2:26" ht="15.95" customHeight="1" x14ac:dyDescent="0.2">
      <c r="B114" s="478"/>
      <c r="C114" s="479"/>
      <c r="D114" s="479"/>
      <c r="E114" s="479"/>
      <c r="F114" s="498"/>
      <c r="G114" s="478"/>
      <c r="H114" s="479"/>
      <c r="I114" s="479"/>
      <c r="J114" s="479"/>
      <c r="K114" s="498"/>
      <c r="L114" s="480">
        <v>0</v>
      </c>
      <c r="M114" s="481"/>
      <c r="N114" s="480">
        <v>0</v>
      </c>
      <c r="O114" s="481"/>
      <c r="P114" s="474">
        <f>IF(B114&lt;&gt;"",IF(L114-N114&lt;0,0,L114-N114),0)</f>
        <v>0</v>
      </c>
      <c r="Q114" s="475"/>
      <c r="R114" s="475"/>
      <c r="S114" s="366" t="s">
        <v>162</v>
      </c>
      <c r="T114" s="476"/>
      <c r="U114" s="477"/>
      <c r="V114" s="477"/>
      <c r="W114" s="477"/>
      <c r="X114" s="171"/>
      <c r="Y114" s="160"/>
      <c r="Z114" s="215"/>
    </row>
    <row r="115" spans="2:26" ht="15.95" customHeight="1" x14ac:dyDescent="0.2">
      <c r="B115" s="478"/>
      <c r="C115" s="479"/>
      <c r="D115" s="479"/>
      <c r="E115" s="479"/>
      <c r="F115" s="498"/>
      <c r="G115" s="478"/>
      <c r="H115" s="479"/>
      <c r="I115" s="479"/>
      <c r="J115" s="479"/>
      <c r="K115" s="498"/>
      <c r="L115" s="480">
        <v>0</v>
      </c>
      <c r="M115" s="481"/>
      <c r="N115" s="480">
        <v>0</v>
      </c>
      <c r="O115" s="481"/>
      <c r="P115" s="474">
        <f>IF(B115&lt;&gt;"",IF(L115-N115&lt;0,0,L115-N115),0)</f>
        <v>0</v>
      </c>
      <c r="Q115" s="475"/>
      <c r="R115" s="475"/>
      <c r="S115" s="366" t="s">
        <v>162</v>
      </c>
      <c r="T115" s="476"/>
      <c r="U115" s="477"/>
      <c r="V115" s="477"/>
      <c r="W115" s="477"/>
      <c r="X115" s="171"/>
      <c r="Y115" s="160"/>
      <c r="Z115" s="215"/>
    </row>
    <row r="116" spans="2:26" ht="3.95" customHeight="1" x14ac:dyDescent="0.2">
      <c r="B116" s="208"/>
      <c r="C116" s="208"/>
      <c r="D116" s="208"/>
      <c r="E116" s="209"/>
      <c r="F116" s="209"/>
      <c r="G116" s="203"/>
      <c r="H116" s="203"/>
      <c r="I116" s="195"/>
      <c r="J116" s="204"/>
      <c r="K116" s="204"/>
      <c r="L116" s="210"/>
      <c r="M116" s="210"/>
      <c r="N116" s="210"/>
      <c r="O116" s="210"/>
      <c r="P116" s="173"/>
      <c r="Q116" s="173"/>
      <c r="R116" s="173"/>
      <c r="S116" s="171"/>
      <c r="T116" s="171"/>
      <c r="U116" s="171"/>
      <c r="V116" s="171"/>
      <c r="W116" s="171"/>
      <c r="X116" s="171"/>
      <c r="Y116" s="160"/>
      <c r="Z116" s="214"/>
    </row>
    <row r="117" spans="2:26" ht="15.95" customHeight="1" x14ac:dyDescent="0.2">
      <c r="B117" s="175" t="s">
        <v>368</v>
      </c>
      <c r="P117" s="451">
        <f>SUM(P113:R115)</f>
        <v>0</v>
      </c>
      <c r="Q117" s="451"/>
      <c r="R117" s="451"/>
      <c r="U117" s="467">
        <f>P117</f>
        <v>0</v>
      </c>
      <c r="V117" s="467"/>
      <c r="W117" s="467"/>
      <c r="X117" s="171" t="s">
        <v>163</v>
      </c>
      <c r="Y117" s="160"/>
      <c r="Z117" s="215"/>
    </row>
    <row r="118" spans="2:26" ht="8.1" customHeight="1" x14ac:dyDescent="0.2">
      <c r="Y118" s="160"/>
      <c r="Z118" s="214"/>
    </row>
    <row r="119" spans="2:26" ht="15.95" customHeight="1" x14ac:dyDescent="0.2">
      <c r="B119" s="174" t="s">
        <v>23</v>
      </c>
      <c r="L119" s="504" t="str">
        <f>IF(P117&gt;0,"(" &amp; DTParameter!D40 &amp; " € ./. " &amp; ROUND(U102,2) &amp; " €)","")</f>
        <v/>
      </c>
      <c r="M119" s="504"/>
      <c r="N119" s="504"/>
      <c r="O119" s="504"/>
      <c r="U119" s="450">
        <f>IF(P117&gt;0,IF(DTParameter!D40-Schmälerungsverbot!U102&lt;0,0,DTParameter!D40-Schmälerungsverbot!U102),0)</f>
        <v>0</v>
      </c>
      <c r="V119" s="450"/>
      <c r="W119" s="450"/>
      <c r="X119" s="189" t="s">
        <v>163</v>
      </c>
      <c r="Y119" s="160"/>
      <c r="Z119" s="458" t="s">
        <v>32</v>
      </c>
    </row>
    <row r="120" spans="2:26" ht="3.95" customHeight="1" x14ac:dyDescent="0.2">
      <c r="L120" s="368"/>
      <c r="M120" s="368"/>
      <c r="N120" s="368"/>
      <c r="O120" s="368"/>
      <c r="U120" s="173"/>
      <c r="V120" s="173"/>
      <c r="W120" s="173"/>
      <c r="X120" s="171"/>
      <c r="Y120" s="160"/>
      <c r="Z120" s="458"/>
    </row>
    <row r="121" spans="2:26" ht="15.95" customHeight="1" x14ac:dyDescent="0.2">
      <c r="B121" s="174" t="s">
        <v>359</v>
      </c>
      <c r="L121" s="368"/>
      <c r="M121" s="368"/>
      <c r="N121" s="368"/>
      <c r="O121" s="368"/>
      <c r="U121" s="451">
        <f>IF(U104-U117-U119&lt;0,0,U104-U117-U119)</f>
        <v>0</v>
      </c>
      <c r="V121" s="451"/>
      <c r="W121" s="451"/>
      <c r="X121" s="171"/>
      <c r="Y121" s="160"/>
      <c r="Z121" s="458"/>
    </row>
    <row r="122" spans="2:26" ht="15.95" customHeight="1" x14ac:dyDescent="0.2">
      <c r="L122" s="368"/>
      <c r="M122" s="368"/>
      <c r="N122" s="368"/>
      <c r="O122" s="368"/>
      <c r="U122" s="173"/>
      <c r="V122" s="173"/>
      <c r="W122" s="173"/>
      <c r="X122" s="171"/>
      <c r="Y122" s="160"/>
      <c r="Z122" s="215"/>
    </row>
    <row r="123" spans="2:26" ht="15.95" customHeight="1" x14ac:dyDescent="0.2">
      <c r="L123" s="368"/>
      <c r="M123" s="368"/>
      <c r="N123" s="368"/>
      <c r="O123" s="368"/>
      <c r="U123" s="173"/>
      <c r="V123" s="173"/>
      <c r="W123" s="173"/>
      <c r="X123" s="171"/>
      <c r="Y123" s="160"/>
      <c r="Z123" s="215"/>
    </row>
    <row r="124" spans="2:26" ht="15.95" customHeight="1" x14ac:dyDescent="0.2">
      <c r="B124" s="175" t="s">
        <v>377</v>
      </c>
      <c r="L124" s="368"/>
      <c r="M124" s="368"/>
      <c r="N124" s="368"/>
      <c r="O124" s="368"/>
      <c r="U124" s="451">
        <f>U121</f>
        <v>0</v>
      </c>
      <c r="V124" s="451"/>
      <c r="W124" s="451"/>
      <c r="X124" s="171"/>
      <c r="Y124" s="160"/>
      <c r="Z124" s="380" t="s">
        <v>45</v>
      </c>
    </row>
    <row r="125" spans="2:26" ht="15.95" customHeight="1" x14ac:dyDescent="0.2">
      <c r="L125" s="368"/>
      <c r="M125" s="368"/>
      <c r="N125" s="368"/>
      <c r="O125" s="368"/>
      <c r="U125" s="173"/>
      <c r="V125" s="173"/>
      <c r="W125" s="173"/>
      <c r="X125" s="171"/>
      <c r="Y125" s="160"/>
      <c r="Z125" s="215"/>
    </row>
    <row r="126" spans="2:26" ht="15.95" customHeight="1" x14ac:dyDescent="0.2">
      <c r="B126" s="197" t="s">
        <v>5</v>
      </c>
      <c r="L126" s="368"/>
      <c r="M126" s="368"/>
      <c r="N126" s="368"/>
      <c r="O126" s="368"/>
      <c r="U126" s="173"/>
      <c r="V126" s="173"/>
      <c r="W126" s="173"/>
      <c r="X126" s="171"/>
      <c r="Y126" s="160"/>
      <c r="Z126" s="215"/>
    </row>
    <row r="127" spans="2:26" ht="15.95" customHeight="1" x14ac:dyDescent="0.2">
      <c r="B127" s="169" t="s">
        <v>6</v>
      </c>
      <c r="L127" s="368"/>
      <c r="M127" s="368"/>
      <c r="N127" s="368"/>
      <c r="O127" s="368"/>
      <c r="U127" s="173"/>
      <c r="V127" s="173"/>
      <c r="W127" s="173"/>
      <c r="X127" s="171"/>
      <c r="Y127" s="160"/>
      <c r="Z127" s="215"/>
    </row>
    <row r="128" spans="2:26" ht="15.95" customHeight="1" x14ac:dyDescent="0.2">
      <c r="L128" s="368"/>
      <c r="M128" s="368"/>
      <c r="N128" s="368"/>
      <c r="O128" s="368"/>
      <c r="U128" s="173"/>
      <c r="V128" s="173"/>
      <c r="W128" s="173"/>
      <c r="X128" s="171"/>
      <c r="Y128" s="160"/>
      <c r="Z128" s="215"/>
    </row>
    <row r="129" spans="2:26" ht="12.75" customHeight="1" x14ac:dyDescent="0.2">
      <c r="B129" s="505" t="s">
        <v>362</v>
      </c>
      <c r="C129" s="506"/>
      <c r="D129" s="506"/>
      <c r="E129" s="507"/>
      <c r="F129" s="514" t="s">
        <v>363</v>
      </c>
      <c r="G129" s="514"/>
      <c r="H129" s="514"/>
      <c r="I129" s="514"/>
      <c r="J129" s="514"/>
      <c r="K129" s="514"/>
      <c r="L129" s="515" t="s">
        <v>364</v>
      </c>
      <c r="M129" s="515"/>
      <c r="N129" s="515" t="s">
        <v>365</v>
      </c>
      <c r="O129" s="515"/>
      <c r="P129" s="459" t="s">
        <v>366</v>
      </c>
      <c r="Q129" s="460"/>
      <c r="R129" s="460"/>
      <c r="S129" s="363"/>
      <c r="T129" s="362"/>
      <c r="U129" s="362"/>
      <c r="V129" s="362"/>
      <c r="W129" s="362"/>
      <c r="X129" s="360"/>
      <c r="Y129" s="160"/>
      <c r="Z129" s="458" t="s">
        <v>36</v>
      </c>
    </row>
    <row r="130" spans="2:26" ht="12.75" x14ac:dyDescent="0.2">
      <c r="B130" s="508"/>
      <c r="C130" s="509"/>
      <c r="D130" s="509"/>
      <c r="E130" s="510"/>
      <c r="F130" s="514"/>
      <c r="G130" s="514"/>
      <c r="H130" s="514"/>
      <c r="I130" s="514"/>
      <c r="J130" s="514"/>
      <c r="K130" s="514"/>
      <c r="L130" s="515"/>
      <c r="M130" s="515"/>
      <c r="N130" s="515"/>
      <c r="O130" s="515"/>
      <c r="P130" s="461"/>
      <c r="Q130" s="462"/>
      <c r="R130" s="462"/>
      <c r="S130" s="364"/>
      <c r="T130" s="362"/>
      <c r="U130" s="362"/>
      <c r="V130" s="362"/>
      <c r="W130" s="362"/>
      <c r="X130" s="360"/>
      <c r="Y130" s="160"/>
      <c r="Z130" s="458"/>
    </row>
    <row r="131" spans="2:26" ht="12.75" x14ac:dyDescent="0.2">
      <c r="B131" s="511"/>
      <c r="C131" s="512"/>
      <c r="D131" s="512"/>
      <c r="E131" s="513"/>
      <c r="F131" s="514"/>
      <c r="G131" s="514"/>
      <c r="H131" s="514"/>
      <c r="I131" s="514"/>
      <c r="J131" s="514"/>
      <c r="K131" s="514"/>
      <c r="L131" s="515"/>
      <c r="M131" s="515"/>
      <c r="N131" s="515"/>
      <c r="O131" s="515"/>
      <c r="P131" s="463"/>
      <c r="Q131" s="464"/>
      <c r="R131" s="464"/>
      <c r="S131" s="365"/>
      <c r="T131" s="362"/>
      <c r="U131" s="362"/>
      <c r="V131" s="362"/>
      <c r="W131" s="362"/>
      <c r="X131" s="360"/>
      <c r="Y131" s="160"/>
      <c r="Z131" s="458"/>
    </row>
    <row r="132" spans="2:26" ht="15.95" customHeight="1" x14ac:dyDescent="0.2">
      <c r="B132" s="478"/>
      <c r="C132" s="479"/>
      <c r="D132" s="479"/>
      <c r="E132" s="479"/>
      <c r="F132" s="501" t="str">
        <f>IF(B132&lt;&gt;"",VLOOKUP(Dropdownfelder!A69,Dropdownfelder!A70:B73,2,FALSE),"")</f>
        <v/>
      </c>
      <c r="G132" s="502"/>
      <c r="H132" s="502"/>
      <c r="I132" s="502"/>
      <c r="J132" s="502"/>
      <c r="K132" s="503"/>
      <c r="L132" s="480">
        <v>0</v>
      </c>
      <c r="M132" s="481"/>
      <c r="N132" s="480">
        <v>0</v>
      </c>
      <c r="O132" s="481"/>
      <c r="P132" s="474">
        <f>IF(B132&lt;&gt;"",IF(L132-N132&lt;0,0,L132-N132),0)</f>
        <v>0</v>
      </c>
      <c r="Q132" s="475"/>
      <c r="R132" s="475"/>
      <c r="S132" s="366"/>
      <c r="T132" s="476"/>
      <c r="U132" s="477"/>
      <c r="V132" s="477"/>
      <c r="W132" s="477"/>
      <c r="X132" s="171"/>
      <c r="Y132" s="160"/>
      <c r="Z132" s="458"/>
    </row>
    <row r="133" spans="2:26" ht="15.95" customHeight="1" x14ac:dyDescent="0.2">
      <c r="B133" s="478"/>
      <c r="C133" s="479"/>
      <c r="D133" s="479"/>
      <c r="E133" s="479"/>
      <c r="F133" s="501" t="str">
        <f>IF(B133&lt;&gt;"",VLOOKUP(Dropdownfelder!A75,Dropdownfelder!A76:B79,2,FALSE),"")</f>
        <v/>
      </c>
      <c r="G133" s="502"/>
      <c r="H133" s="502"/>
      <c r="I133" s="502"/>
      <c r="J133" s="502"/>
      <c r="K133" s="503"/>
      <c r="L133" s="480">
        <v>0</v>
      </c>
      <c r="M133" s="481"/>
      <c r="N133" s="480">
        <v>0</v>
      </c>
      <c r="O133" s="481"/>
      <c r="P133" s="474">
        <f>IF(B133&lt;&gt;"",IF(L133-N133&lt;0,0,L133-N133),0)</f>
        <v>0</v>
      </c>
      <c r="Q133" s="475"/>
      <c r="R133" s="475"/>
      <c r="S133" s="366" t="s">
        <v>162</v>
      </c>
      <c r="T133" s="476"/>
      <c r="U133" s="477"/>
      <c r="V133" s="477"/>
      <c r="W133" s="477"/>
      <c r="X133" s="171"/>
      <c r="Y133" s="160"/>
      <c r="Z133" s="458"/>
    </row>
    <row r="134" spans="2:26" ht="15.95" customHeight="1" x14ac:dyDescent="0.2">
      <c r="B134" s="478"/>
      <c r="C134" s="479"/>
      <c r="D134" s="479"/>
      <c r="E134" s="479"/>
      <c r="F134" s="501" t="str">
        <f>IF(B134&lt;&gt;"",VLOOKUP(Dropdownfelder!A81,Dropdownfelder!A82:B85,2,FALSE),"")</f>
        <v/>
      </c>
      <c r="G134" s="502"/>
      <c r="H134" s="502"/>
      <c r="I134" s="502"/>
      <c r="J134" s="502"/>
      <c r="K134" s="503"/>
      <c r="L134" s="480">
        <v>0</v>
      </c>
      <c r="M134" s="481"/>
      <c r="N134" s="480">
        <v>0</v>
      </c>
      <c r="O134" s="481"/>
      <c r="P134" s="474">
        <f>IF(B134&lt;&gt;"",IF(L134-N134&lt;0,0,L134-N134),0)</f>
        <v>0</v>
      </c>
      <c r="Q134" s="475"/>
      <c r="R134" s="475"/>
      <c r="S134" s="366" t="s">
        <v>162</v>
      </c>
      <c r="T134" s="476"/>
      <c r="U134" s="477"/>
      <c r="V134" s="477"/>
      <c r="W134" s="477"/>
      <c r="X134" s="171"/>
      <c r="Y134" s="160"/>
      <c r="Z134" s="458"/>
    </row>
    <row r="135" spans="2:26" ht="3.95" customHeight="1" x14ac:dyDescent="0.2">
      <c r="B135" s="208"/>
      <c r="C135" s="208"/>
      <c r="D135" s="208"/>
      <c r="E135" s="209"/>
      <c r="F135" s="209"/>
      <c r="G135" s="203"/>
      <c r="H135" s="203"/>
      <c r="I135" s="195"/>
      <c r="J135" s="204"/>
      <c r="K135" s="204"/>
      <c r="L135" s="210"/>
      <c r="M135" s="210"/>
      <c r="N135" s="210"/>
      <c r="O135" s="210"/>
      <c r="P135" s="173"/>
      <c r="Q135" s="173"/>
      <c r="R135" s="173"/>
      <c r="S135" s="171"/>
      <c r="T135" s="171"/>
      <c r="U135" s="171"/>
      <c r="V135" s="171"/>
      <c r="W135" s="171"/>
      <c r="X135" s="171"/>
      <c r="Y135" s="160"/>
      <c r="Z135" s="215"/>
    </row>
    <row r="136" spans="2:26" ht="15.95" customHeight="1" x14ac:dyDescent="0.2">
      <c r="B136" s="175" t="s">
        <v>25</v>
      </c>
      <c r="P136" s="451">
        <f>SUM(P132:R134)</f>
        <v>0</v>
      </c>
      <c r="Q136" s="451"/>
      <c r="R136" s="451"/>
      <c r="U136" s="467">
        <f>P136</f>
        <v>0</v>
      </c>
      <c r="V136" s="467"/>
      <c r="W136" s="467"/>
      <c r="X136" s="171" t="s">
        <v>163</v>
      </c>
      <c r="Y136" s="160"/>
      <c r="Z136" s="215"/>
    </row>
    <row r="137" spans="2:26" ht="8.1" customHeight="1" x14ac:dyDescent="0.2">
      <c r="Y137" s="160"/>
      <c r="Z137" s="215"/>
    </row>
    <row r="138" spans="2:26" ht="15.95" customHeight="1" x14ac:dyDescent="0.2">
      <c r="B138" s="174" t="s">
        <v>26</v>
      </c>
      <c r="L138" s="504" t="str">
        <f>"("&amp;DTParameter!D41&amp;" € ./. " &amp; ROUND(U102+U119,2)&amp;" €)"</f>
        <v>(1200 € ./. 1080 €)</v>
      </c>
      <c r="M138" s="504"/>
      <c r="N138" s="504"/>
      <c r="O138" s="504"/>
      <c r="U138" s="450">
        <f>IF(P136&gt;0,IF(U119=0,DTParameter!D41-Schmälerungsverbot!U102,0),0)</f>
        <v>0</v>
      </c>
      <c r="V138" s="450"/>
      <c r="W138" s="450"/>
      <c r="X138" s="189" t="s">
        <v>163</v>
      </c>
      <c r="Y138" s="160"/>
      <c r="Z138" s="458" t="s">
        <v>33</v>
      </c>
    </row>
    <row r="139" spans="2:26" ht="3.95" customHeight="1" x14ac:dyDescent="0.2">
      <c r="L139" s="368"/>
      <c r="M139" s="368"/>
      <c r="N139" s="368"/>
      <c r="O139" s="368"/>
      <c r="U139" s="173"/>
      <c r="V139" s="173"/>
      <c r="W139" s="173"/>
      <c r="X139" s="171"/>
      <c r="Y139" s="160"/>
      <c r="Z139" s="458"/>
    </row>
    <row r="140" spans="2:26" ht="15.95" customHeight="1" x14ac:dyDescent="0.2">
      <c r="B140" s="174" t="s">
        <v>359</v>
      </c>
      <c r="L140" s="368"/>
      <c r="M140" s="368"/>
      <c r="N140" s="368"/>
      <c r="O140" s="368"/>
      <c r="U140" s="451">
        <f>IF(U121-U136-U138&lt;0,0,U121-U136-U138)</f>
        <v>0</v>
      </c>
      <c r="V140" s="451"/>
      <c r="W140" s="451"/>
      <c r="X140" s="171"/>
      <c r="Y140" s="160"/>
      <c r="Z140" s="458"/>
    </row>
    <row r="141" spans="2:26" ht="15.95" customHeight="1" x14ac:dyDescent="0.2">
      <c r="L141" s="368"/>
      <c r="M141" s="368"/>
      <c r="N141" s="368"/>
      <c r="O141" s="368"/>
      <c r="U141" s="192"/>
      <c r="V141" s="192"/>
      <c r="W141" s="192"/>
      <c r="X141" s="171"/>
      <c r="Y141" s="160"/>
      <c r="Z141" s="215"/>
    </row>
    <row r="142" spans="2:26" ht="15.95" customHeight="1" x14ac:dyDescent="0.2">
      <c r="L142" s="368"/>
      <c r="M142" s="368"/>
      <c r="N142" s="368"/>
      <c r="O142" s="368"/>
      <c r="U142" s="192"/>
      <c r="V142" s="192"/>
      <c r="W142" s="192"/>
      <c r="X142" s="171"/>
      <c r="Y142" s="160"/>
      <c r="Z142" s="215"/>
    </row>
    <row r="143" spans="2:26" ht="15.95" customHeight="1" x14ac:dyDescent="0.2">
      <c r="B143" s="197" t="s">
        <v>13</v>
      </c>
      <c r="L143" s="368"/>
      <c r="M143" s="368"/>
      <c r="N143" s="368"/>
      <c r="O143" s="368"/>
      <c r="U143" s="192"/>
      <c r="V143" s="192"/>
      <c r="W143" s="192"/>
      <c r="X143" s="171"/>
      <c r="Y143" s="160"/>
      <c r="Z143" s="465" t="s">
        <v>37</v>
      </c>
    </row>
    <row r="144" spans="2:26" ht="15.95" customHeight="1" x14ac:dyDescent="0.2">
      <c r="B144" s="169" t="s">
        <v>22</v>
      </c>
      <c r="L144" s="368"/>
      <c r="M144" s="368"/>
      <c r="N144" s="368"/>
      <c r="O144" s="368"/>
      <c r="U144" s="192"/>
      <c r="V144" s="192"/>
      <c r="W144" s="192"/>
      <c r="X144" s="171"/>
      <c r="Y144" s="160"/>
      <c r="Z144" s="465"/>
    </row>
    <row r="145" spans="2:26" ht="15.95" customHeight="1" x14ac:dyDescent="0.2">
      <c r="L145" s="368"/>
      <c r="M145" s="368"/>
      <c r="N145" s="368"/>
      <c r="O145" s="368"/>
      <c r="U145" s="192"/>
      <c r="V145" s="192"/>
      <c r="W145" s="192"/>
      <c r="X145" s="171"/>
      <c r="Y145" s="160"/>
      <c r="Z145" s="465"/>
    </row>
    <row r="146" spans="2:26" ht="12.75" customHeight="1" x14ac:dyDescent="0.2">
      <c r="B146" s="491" t="s">
        <v>234</v>
      </c>
      <c r="C146" s="492"/>
      <c r="D146" s="492"/>
      <c r="E146" s="493" t="s">
        <v>235</v>
      </c>
      <c r="F146" s="494"/>
      <c r="G146" s="493" t="s">
        <v>270</v>
      </c>
      <c r="H146" s="495"/>
      <c r="I146" s="496" t="s">
        <v>410</v>
      </c>
      <c r="J146" s="492"/>
      <c r="K146" s="497"/>
      <c r="L146" s="489" t="s">
        <v>40</v>
      </c>
      <c r="M146" s="490"/>
      <c r="N146" s="489" t="s">
        <v>236</v>
      </c>
      <c r="O146" s="490"/>
      <c r="P146" s="459" t="s">
        <v>366</v>
      </c>
      <c r="Q146" s="460"/>
      <c r="R146" s="460"/>
      <c r="S146" s="363"/>
      <c r="U146" s="192"/>
      <c r="V146" s="192"/>
      <c r="W146" s="192"/>
      <c r="X146" s="171"/>
      <c r="Y146" s="160"/>
      <c r="Z146" s="378"/>
    </row>
    <row r="147" spans="2:26" ht="12.75" customHeight="1" x14ac:dyDescent="0.2">
      <c r="B147" s="482" t="s">
        <v>238</v>
      </c>
      <c r="C147" s="483"/>
      <c r="D147" s="483"/>
      <c r="E147" s="484"/>
      <c r="F147" s="485"/>
      <c r="G147" s="484" t="str">
        <f>"Gruppe " &amp; N140</f>
        <v xml:space="preserve">Gruppe </v>
      </c>
      <c r="H147" s="486"/>
      <c r="I147" s="487" t="s">
        <v>411</v>
      </c>
      <c r="J147" s="483"/>
      <c r="K147" s="488"/>
      <c r="L147" s="516" t="s">
        <v>41</v>
      </c>
      <c r="M147" s="517"/>
      <c r="N147" s="516" t="s">
        <v>239</v>
      </c>
      <c r="O147" s="517"/>
      <c r="P147" s="461"/>
      <c r="Q147" s="462"/>
      <c r="R147" s="462"/>
      <c r="S147" s="364"/>
      <c r="U147" s="192"/>
      <c r="V147" s="192"/>
      <c r="W147" s="192"/>
      <c r="X147" s="171"/>
      <c r="Y147" s="160"/>
      <c r="Z147" s="466" t="s">
        <v>38</v>
      </c>
    </row>
    <row r="148" spans="2:26" ht="12.75" x14ac:dyDescent="0.2">
      <c r="B148" s="199"/>
      <c r="C148" s="200"/>
      <c r="D148" s="200"/>
      <c r="E148" s="452"/>
      <c r="F148" s="453"/>
      <c r="G148" s="452" t="s">
        <v>271</v>
      </c>
      <c r="H148" s="454"/>
      <c r="I148" s="455"/>
      <c r="J148" s="456"/>
      <c r="K148" s="457"/>
      <c r="L148" s="499" t="s">
        <v>42</v>
      </c>
      <c r="M148" s="500"/>
      <c r="N148" s="499" t="s">
        <v>163</v>
      </c>
      <c r="O148" s="500"/>
      <c r="P148" s="463"/>
      <c r="Q148" s="464"/>
      <c r="R148" s="464"/>
      <c r="S148" s="365"/>
      <c r="U148" s="192"/>
      <c r="V148" s="192"/>
      <c r="W148" s="192"/>
      <c r="X148" s="171"/>
      <c r="Y148" s="160"/>
      <c r="Z148" s="466"/>
    </row>
    <row r="149" spans="2:26" ht="15.95" customHeight="1" x14ac:dyDescent="0.2">
      <c r="B149" s="469"/>
      <c r="C149" s="469"/>
      <c r="D149" s="469"/>
      <c r="E149" s="470"/>
      <c r="F149" s="470"/>
      <c r="G149" s="471" t="str">
        <f>IF(AND(E149&lt;&gt;"",Hauptberechnung!K17-Schmälerungsverbot!E149&lt;6574)=TRUE,"minderj.!",IF(E149&lt;&gt;"",DTParameter!E50,""))</f>
        <v/>
      </c>
      <c r="H149" s="471"/>
      <c r="I149" s="376" t="str">
        <f>IF(E149&lt;&gt;"",VLOOKUP(Dropdownfelder!A88,Dropdownfelder!A89:D97,4),"")</f>
        <v/>
      </c>
      <c r="J149" s="472" t="str">
        <f>IF(E149&lt;&gt;"",VLOOKUP(Dropdownfelder!A88,Dropdownfelder!A89:D97,3),"")</f>
        <v/>
      </c>
      <c r="K149" s="472"/>
      <c r="L149" s="473">
        <v>0</v>
      </c>
      <c r="M149" s="473"/>
      <c r="N149" s="473">
        <v>0</v>
      </c>
      <c r="O149" s="473"/>
      <c r="P149" s="474" t="str">
        <f>IF(G149&lt;&gt;"minderj.!",IF(Dropdownfelder!A88&lt;&gt;1,IF(E149&lt;&gt;"",IF(OR(G149&lt;&gt;0,L149&lt;&gt;0)=TRUE,IF(L149&lt;&gt;0,IF(L149-N149&lt;0,0,L149-N149),IF(G149+J149-N149&lt;0,0,G149+J149-N149)),0),""),""),"")</f>
        <v/>
      </c>
      <c r="Q149" s="475"/>
      <c r="R149" s="475"/>
      <c r="S149" s="366" t="s">
        <v>162</v>
      </c>
      <c r="U149" s="192"/>
      <c r="V149" s="192"/>
      <c r="W149" s="192"/>
      <c r="X149" s="171"/>
      <c r="Y149" s="160"/>
      <c r="Z149" s="466"/>
    </row>
    <row r="150" spans="2:26" ht="15.95" customHeight="1" x14ac:dyDescent="0.2">
      <c r="B150" s="469"/>
      <c r="C150" s="469"/>
      <c r="D150" s="469"/>
      <c r="E150" s="470"/>
      <c r="F150" s="470"/>
      <c r="G150" s="471" t="str">
        <f>IF(AND(E150&lt;&gt;"",Hauptberechnung!K17-Schmälerungsverbot!E150&lt;6574)=TRUE,"minderj.!",IF(E150&lt;&gt;"",DTParameter!E51,""))</f>
        <v/>
      </c>
      <c r="H150" s="471"/>
      <c r="I150" s="376" t="str">
        <f>IF(E150&lt;&gt;"",VLOOKUP(Dropdownfelder!A100,Dropdownfelder!A101:D109,4),"")</f>
        <v/>
      </c>
      <c r="J150" s="472" t="str">
        <f>IF(E150&lt;&gt;"",VLOOKUP(Dropdownfelder!A100,Dropdownfelder!A101:D109,3),"")</f>
        <v/>
      </c>
      <c r="K150" s="472"/>
      <c r="L150" s="473">
        <v>0</v>
      </c>
      <c r="M150" s="473"/>
      <c r="N150" s="473">
        <v>0</v>
      </c>
      <c r="O150" s="473"/>
      <c r="P150" s="474" t="str">
        <f>IF(G150&lt;&gt;"minderj.!",IF(Dropdownfelder!A100&lt;&gt;1,IF(E150&lt;&gt;"",IF(OR(G150&lt;&gt;0,L150&lt;&gt;0)=TRUE,IF(L150&lt;&gt;0,IF(L150-N150&lt;0,0,L150-N150),IF(G150+J150-N150&lt;0,0,G150+J150-N150)),0),""),""),"")</f>
        <v/>
      </c>
      <c r="Q150" s="475"/>
      <c r="R150" s="475"/>
      <c r="S150" s="366" t="s">
        <v>162</v>
      </c>
      <c r="U150" s="192"/>
      <c r="V150" s="192"/>
      <c r="W150" s="192"/>
      <c r="X150" s="171"/>
      <c r="Y150" s="160"/>
      <c r="Z150" s="458" t="s">
        <v>39</v>
      </c>
    </row>
    <row r="151" spans="2:26" ht="15.95" customHeight="1" x14ac:dyDescent="0.2">
      <c r="B151" s="469"/>
      <c r="C151" s="469"/>
      <c r="D151" s="469"/>
      <c r="E151" s="470"/>
      <c r="F151" s="470"/>
      <c r="G151" s="471" t="str">
        <f>IF(AND(E151&lt;&gt;"",Hauptberechnung!K17-Schmälerungsverbot!E151&lt;6574)=TRUE,"minderj.!",IF(E151&lt;&gt;"",DTParameter!E52,""))</f>
        <v/>
      </c>
      <c r="H151" s="471"/>
      <c r="I151" s="376" t="str">
        <f>IF(E151&lt;&gt;"",VLOOKUP(Dropdownfelder!A112,Dropdownfelder!A113:D117,4),"")</f>
        <v/>
      </c>
      <c r="J151" s="472" t="str">
        <f>IF(E151&lt;&gt;"",VLOOKUP(Dropdownfelder!A112,Dropdownfelder!A113:D117,3),"")</f>
        <v/>
      </c>
      <c r="K151" s="472"/>
      <c r="L151" s="473">
        <v>0</v>
      </c>
      <c r="M151" s="473"/>
      <c r="N151" s="473">
        <v>0</v>
      </c>
      <c r="O151" s="473"/>
      <c r="P151" s="474" t="str">
        <f>IF(G151&lt;&gt;"minderj.!",IF(Dropdownfelder!A112&lt;&gt;1,IF(E151&lt;&gt;"",IF(OR(G151&lt;&gt;0,L151&lt;&gt;0)=TRUE,IF(L151&lt;&gt;0,IF(L151-N151&lt;0,0,L151-N151),IF(G151+J151-N151&lt;0,0,G151+J151-N151)),0),""),""),"")</f>
        <v/>
      </c>
      <c r="Q151" s="475"/>
      <c r="R151" s="475"/>
      <c r="S151" s="366" t="s">
        <v>162</v>
      </c>
      <c r="U151" s="192"/>
      <c r="V151" s="192"/>
      <c r="W151" s="192"/>
      <c r="X151" s="171"/>
      <c r="Y151" s="160"/>
      <c r="Z151" s="458"/>
    </row>
    <row r="152" spans="2:26" ht="15.95" customHeight="1" x14ac:dyDescent="0.2">
      <c r="B152" s="469"/>
      <c r="C152" s="469"/>
      <c r="D152" s="469"/>
      <c r="E152" s="470"/>
      <c r="F152" s="470"/>
      <c r="G152" s="471" t="str">
        <f>IF(AND(E152&lt;&gt;"",Hauptberechnung!K17-Schmälerungsverbot!E152&lt;6574)=TRUE,"minderj.!",IF(E152&lt;&gt;"",DTParameter!E53,""))</f>
        <v/>
      </c>
      <c r="H152" s="471"/>
      <c r="I152" s="376" t="str">
        <f>IF(E152&lt;&gt;"",VLOOKUP(Dropdownfelder!A124,Dropdownfelder!A125:D133,4),"")</f>
        <v/>
      </c>
      <c r="J152" s="472" t="str">
        <f>IF(E152&lt;&gt;"",VLOOKUP(Dropdownfelder!A124,Dropdownfelder!A125:D133,3),"")</f>
        <v/>
      </c>
      <c r="K152" s="472"/>
      <c r="L152" s="473">
        <v>0</v>
      </c>
      <c r="M152" s="473"/>
      <c r="N152" s="473">
        <v>0</v>
      </c>
      <c r="O152" s="473"/>
      <c r="P152" s="474" t="str">
        <f>IF(G152&lt;&gt;"minderj.!",IF(Dropdownfelder!A124&lt;&gt;1,IF(E152&lt;&gt;"",IF(OR(G152&lt;&gt;0,L152&lt;&gt;0)=TRUE,IF(L152&lt;&gt;0,IF(L152-N152&lt;0,0,L152-N152),IF(G152+J152-N152&lt;0,0,G152+J152-N152)),0),""),""),"")</f>
        <v/>
      </c>
      <c r="Q152" s="475"/>
      <c r="R152" s="475"/>
      <c r="S152" s="366" t="s">
        <v>162</v>
      </c>
      <c r="U152" s="192"/>
      <c r="V152" s="192"/>
      <c r="W152" s="192"/>
      <c r="X152" s="171"/>
      <c r="Y152" s="160"/>
      <c r="Z152" s="458"/>
    </row>
    <row r="153" spans="2:26" ht="3.95" customHeight="1" x14ac:dyDescent="0.2">
      <c r="L153" s="368"/>
      <c r="M153" s="368"/>
      <c r="N153" s="368"/>
      <c r="O153" s="368"/>
      <c r="U153" s="192"/>
      <c r="V153" s="192"/>
      <c r="W153" s="192"/>
      <c r="X153" s="171"/>
      <c r="Y153" s="160"/>
      <c r="Z153" s="458"/>
    </row>
    <row r="154" spans="2:26" ht="15.95" customHeight="1" x14ac:dyDescent="0.2">
      <c r="B154" s="175" t="s">
        <v>24</v>
      </c>
      <c r="L154" s="368"/>
      <c r="M154" s="368"/>
      <c r="N154" s="368"/>
      <c r="O154" s="368"/>
      <c r="P154" s="451">
        <f>SUM(P149:R152)</f>
        <v>0</v>
      </c>
      <c r="Q154" s="451"/>
      <c r="R154" s="451"/>
      <c r="U154" s="467">
        <f>P154</f>
        <v>0</v>
      </c>
      <c r="V154" s="467"/>
      <c r="W154" s="467"/>
      <c r="X154" s="171" t="s">
        <v>163</v>
      </c>
      <c r="Y154" s="160"/>
      <c r="Z154" s="458"/>
    </row>
    <row r="155" spans="2:26" ht="8.1" customHeight="1" x14ac:dyDescent="0.2">
      <c r="L155" s="368"/>
      <c r="M155" s="368"/>
      <c r="N155" s="368"/>
      <c r="O155" s="368"/>
      <c r="U155" s="192"/>
      <c r="V155" s="192"/>
      <c r="W155" s="192"/>
      <c r="X155" s="171"/>
      <c r="Y155" s="160"/>
      <c r="Z155" s="215"/>
    </row>
    <row r="156" spans="2:26" ht="15.95" customHeight="1" x14ac:dyDescent="0.2">
      <c r="B156" s="174" t="s">
        <v>27</v>
      </c>
      <c r="L156" s="368" t="str">
        <f>"(" &amp; DTParameter!D42 &amp; " € ./. " &amp; ROUND(U102+U119+U138,2) &amp; " €)"</f>
        <v>(1300 € ./. 1080 €)</v>
      </c>
      <c r="M156" s="368"/>
      <c r="N156" s="368"/>
      <c r="O156" s="368"/>
      <c r="U156" s="450">
        <f>IF(P154&gt;0,IF(OR(U138=0,U119=0)=TRUE,DTParameter!D42-U102-U119-U138,0),0)</f>
        <v>0</v>
      </c>
      <c r="V156" s="450"/>
      <c r="W156" s="450"/>
      <c r="X156" s="189" t="s">
        <v>163</v>
      </c>
      <c r="Y156" s="160"/>
      <c r="Z156" s="458" t="s">
        <v>34</v>
      </c>
    </row>
    <row r="157" spans="2:26" ht="3.95" customHeight="1" x14ac:dyDescent="0.2">
      <c r="B157" s="169"/>
      <c r="C157" s="169"/>
      <c r="D157" s="169"/>
      <c r="E157" s="169"/>
      <c r="F157" s="169"/>
      <c r="G157" s="169"/>
      <c r="H157" s="169"/>
      <c r="U157" s="173"/>
      <c r="V157" s="173"/>
      <c r="W157" s="173"/>
      <c r="X157" s="171"/>
      <c r="Y157" s="160"/>
      <c r="Z157" s="458"/>
    </row>
    <row r="158" spans="2:26" ht="15.95" customHeight="1" x14ac:dyDescent="0.2">
      <c r="B158" s="174" t="s">
        <v>359</v>
      </c>
      <c r="L158" s="368"/>
      <c r="M158" s="368"/>
      <c r="N158" s="368"/>
      <c r="O158" s="368"/>
      <c r="U158" s="451">
        <f>IF(U140-U154-U156&lt;0,0,U140-U154-U156)</f>
        <v>0</v>
      </c>
      <c r="V158" s="451"/>
      <c r="W158" s="451"/>
      <c r="X158" s="171"/>
      <c r="Y158" s="160"/>
      <c r="Z158" s="458"/>
    </row>
    <row r="159" spans="2:26" ht="15.95" customHeight="1" x14ac:dyDescent="0.2">
      <c r="L159" s="368"/>
      <c r="M159" s="368"/>
      <c r="N159" s="368"/>
      <c r="O159" s="368"/>
      <c r="U159" s="192"/>
      <c r="V159" s="192"/>
      <c r="W159" s="192"/>
      <c r="X159" s="171"/>
      <c r="Y159" s="160"/>
      <c r="Z159" s="215"/>
    </row>
    <row r="160" spans="2:26" ht="15.95" customHeight="1" x14ac:dyDescent="0.2">
      <c r="U160" s="467"/>
      <c r="V160" s="467"/>
      <c r="W160" s="467"/>
      <c r="Y160" s="160"/>
      <c r="Z160" s="215"/>
    </row>
    <row r="161" spans="2:26" s="68" customFormat="1" ht="20.100000000000001" customHeight="1" x14ac:dyDescent="0.2">
      <c r="B161" s="468" t="s">
        <v>265</v>
      </c>
      <c r="C161" s="468"/>
      <c r="D161" s="468"/>
      <c r="E161" s="468"/>
      <c r="F161" s="468"/>
      <c r="G161" s="468"/>
      <c r="H161" s="468"/>
      <c r="I161" s="468"/>
      <c r="J161" s="468"/>
      <c r="K161" s="468"/>
      <c r="L161" s="468"/>
      <c r="M161" s="468"/>
      <c r="N161" s="468"/>
      <c r="O161" s="468"/>
      <c r="P161" s="468"/>
      <c r="Q161" s="468"/>
      <c r="R161" s="468"/>
      <c r="S161" s="468"/>
      <c r="T161" s="468"/>
      <c r="U161" s="468"/>
      <c r="V161" s="468"/>
      <c r="W161" s="468"/>
      <c r="X161" s="468"/>
      <c r="Y161" s="150"/>
      <c r="Z161" s="215"/>
    </row>
    <row r="162" spans="2:26" s="169" customFormat="1" ht="15.95" customHeight="1" x14ac:dyDescent="0.2">
      <c r="B162" s="172"/>
      <c r="C162" s="172"/>
      <c r="D162" s="172"/>
      <c r="E162" s="172"/>
      <c r="F162" s="172"/>
      <c r="G162" s="172"/>
      <c r="H162" s="172"/>
      <c r="I162" s="172"/>
      <c r="J162" s="172"/>
      <c r="K162" s="172"/>
      <c r="L162" s="172"/>
      <c r="M162" s="172"/>
      <c r="N162" s="172"/>
      <c r="U162" s="173"/>
      <c r="V162" s="173"/>
      <c r="W162" s="173"/>
      <c r="X162" s="171"/>
      <c r="Y162" s="161"/>
      <c r="Z162" s="215"/>
    </row>
    <row r="163" spans="2:26" ht="15.95" customHeight="1" x14ac:dyDescent="0.2">
      <c r="B163" s="174" t="s">
        <v>28</v>
      </c>
      <c r="C163" s="169"/>
      <c r="D163" s="169"/>
      <c r="E163" s="169"/>
      <c r="F163" s="169"/>
      <c r="G163" s="169"/>
      <c r="H163" s="169"/>
      <c r="U163" s="467">
        <f>IF(U73&lt;&gt;0,Hauptberechnung!U109,0)</f>
        <v>0</v>
      </c>
      <c r="V163" s="467"/>
      <c r="W163" s="467"/>
      <c r="Y163" s="160"/>
      <c r="Z163" s="215"/>
    </row>
    <row r="164" spans="2:26" ht="15.95" customHeight="1" x14ac:dyDescent="0.2">
      <c r="B164" s="169" t="s">
        <v>29</v>
      </c>
      <c r="C164" s="169"/>
      <c r="D164" s="169"/>
      <c r="E164" s="169"/>
      <c r="F164" s="169"/>
      <c r="G164" s="169"/>
      <c r="H164" s="169"/>
      <c r="U164" s="450">
        <f>U158</f>
        <v>0</v>
      </c>
      <c r="V164" s="450"/>
      <c r="W164" s="450"/>
      <c r="X164" s="189" t="s">
        <v>163</v>
      </c>
      <c r="Y164" s="160"/>
      <c r="Z164" s="458" t="s">
        <v>43</v>
      </c>
    </row>
    <row r="165" spans="2:26" ht="3.95" customHeight="1" x14ac:dyDescent="0.2">
      <c r="B165" s="169"/>
      <c r="C165" s="169"/>
      <c r="D165" s="169"/>
      <c r="E165" s="169"/>
      <c r="F165" s="169"/>
      <c r="G165" s="169"/>
      <c r="H165" s="169"/>
      <c r="U165" s="173"/>
      <c r="V165" s="173"/>
      <c r="W165" s="173"/>
      <c r="X165" s="171"/>
      <c r="Y165" s="160"/>
      <c r="Z165" s="458"/>
    </row>
    <row r="166" spans="2:26" ht="15.95" customHeight="1" x14ac:dyDescent="0.2">
      <c r="B166" s="197" t="s">
        <v>30</v>
      </c>
      <c r="C166" s="169"/>
      <c r="D166" s="169"/>
      <c r="E166" s="169"/>
      <c r="F166" s="169"/>
      <c r="G166" s="169"/>
      <c r="H166" s="169"/>
      <c r="S166" s="158"/>
      <c r="T166" s="377"/>
      <c r="U166" s="451">
        <f>IF(U73&lt;&gt;0,IF(U164&lt;U163,U163-U164,0),0)</f>
        <v>0</v>
      </c>
      <c r="V166" s="451"/>
      <c r="W166" s="451"/>
      <c r="Y166" s="160"/>
      <c r="Z166" s="458"/>
    </row>
    <row r="167" spans="2:26" ht="15.95" customHeight="1" x14ac:dyDescent="0.2">
      <c r="B167" s="169"/>
      <c r="C167" s="169"/>
      <c r="D167" s="169"/>
      <c r="E167" s="169"/>
      <c r="F167" s="169"/>
      <c r="G167" s="169"/>
      <c r="H167" s="169"/>
      <c r="U167" s="381"/>
      <c r="V167" s="173"/>
      <c r="W167" s="173"/>
      <c r="Y167" s="160"/>
      <c r="Z167" s="215"/>
    </row>
    <row r="168" spans="2:26" ht="15.95" customHeight="1" x14ac:dyDescent="0.2">
      <c r="Y168" s="316"/>
    </row>
  </sheetData>
  <sheetProtection sheet="1" objects="1" scenarios="1" autoFilter="0"/>
  <mergeCells count="311">
    <mergeCell ref="Z14:Z25"/>
    <mergeCell ref="Z92:Z93"/>
    <mergeCell ref="Z36:Z40"/>
    <mergeCell ref="Z41:Z44"/>
    <mergeCell ref="Z46:Z48"/>
    <mergeCell ref="Z49:Z50"/>
    <mergeCell ref="Z83:Z87"/>
    <mergeCell ref="Z80:Z81"/>
    <mergeCell ref="Z76:Z79"/>
    <mergeCell ref="Z66:Z71"/>
    <mergeCell ref="U56:W56"/>
    <mergeCell ref="U57:W57"/>
    <mergeCell ref="U60:W60"/>
    <mergeCell ref="B75:X75"/>
    <mergeCell ref="I86:K86"/>
    <mergeCell ref="B56:N56"/>
    <mergeCell ref="B57:N57"/>
    <mergeCell ref="B58:N58"/>
    <mergeCell ref="B55:N55"/>
    <mergeCell ref="B71:N71"/>
    <mergeCell ref="U67:W67"/>
    <mergeCell ref="U68:W68"/>
    <mergeCell ref="U69:W69"/>
    <mergeCell ref="U70:W70"/>
    <mergeCell ref="U71:W71"/>
    <mergeCell ref="U73:W73"/>
    <mergeCell ref="U62:W62"/>
    <mergeCell ref="Z94:Z96"/>
    <mergeCell ref="Z97:Z98"/>
    <mergeCell ref="U102:W102"/>
    <mergeCell ref="T86:X98"/>
    <mergeCell ref="Z89:Z91"/>
    <mergeCell ref="P100:R100"/>
    <mergeCell ref="U100:W100"/>
    <mergeCell ref="P98:R98"/>
    <mergeCell ref="P97:R97"/>
    <mergeCell ref="P91:R91"/>
    <mergeCell ref="P86:R86"/>
    <mergeCell ref="P95:R95"/>
    <mergeCell ref="P93:R93"/>
    <mergeCell ref="P94:R94"/>
    <mergeCell ref="P92:R92"/>
    <mergeCell ref="Z110:Z112"/>
    <mergeCell ref="B98:D98"/>
    <mergeCell ref="G98:H98"/>
    <mergeCell ref="J97:K97"/>
    <mergeCell ref="N97:O97"/>
    <mergeCell ref="L98:M98"/>
    <mergeCell ref="N98:O98"/>
    <mergeCell ref="E98:F98"/>
    <mergeCell ref="J98:K98"/>
    <mergeCell ref="B97:D97"/>
    <mergeCell ref="E97:F97"/>
    <mergeCell ref="U104:W104"/>
    <mergeCell ref="G97:H97"/>
    <mergeCell ref="N92:O92"/>
    <mergeCell ref="N93:O93"/>
    <mergeCell ref="L93:M93"/>
    <mergeCell ref="P96:R96"/>
    <mergeCell ref="J92:K92"/>
    <mergeCell ref="L97:M97"/>
    <mergeCell ref="L94:M94"/>
    <mergeCell ref="N94:O94"/>
    <mergeCell ref="J94:K94"/>
    <mergeCell ref="L96:M96"/>
    <mergeCell ref="N96:O96"/>
    <mergeCell ref="L95:M95"/>
    <mergeCell ref="N95:O95"/>
    <mergeCell ref="J95:K95"/>
    <mergeCell ref="L92:M92"/>
    <mergeCell ref="G90:H90"/>
    <mergeCell ref="G94:H94"/>
    <mergeCell ref="G95:H95"/>
    <mergeCell ref="G96:H96"/>
    <mergeCell ref="E93:F93"/>
    <mergeCell ref="E94:F94"/>
    <mergeCell ref="E91:F91"/>
    <mergeCell ref="E92:F92"/>
    <mergeCell ref="J96:K96"/>
    <mergeCell ref="J93:K93"/>
    <mergeCell ref="E87:F87"/>
    <mergeCell ref="G88:H88"/>
    <mergeCell ref="I88:K88"/>
    <mergeCell ref="N89:O89"/>
    <mergeCell ref="E88:F88"/>
    <mergeCell ref="B46:J46"/>
    <mergeCell ref="L43:N43"/>
    <mergeCell ref="N86:O86"/>
    <mergeCell ref="B86:D86"/>
    <mergeCell ref="B87:D87"/>
    <mergeCell ref="G86:H86"/>
    <mergeCell ref="G87:H87"/>
    <mergeCell ref="E86:F86"/>
    <mergeCell ref="L86:M86"/>
    <mergeCell ref="L44:N44"/>
    <mergeCell ref="L88:M88"/>
    <mergeCell ref="B89:D89"/>
    <mergeCell ref="B54:N54"/>
    <mergeCell ref="G89:H89"/>
    <mergeCell ref="B64:X64"/>
    <mergeCell ref="B67:N67"/>
    <mergeCell ref="B68:N68"/>
    <mergeCell ref="B69:N69"/>
    <mergeCell ref="B70:N70"/>
    <mergeCell ref="L91:M91"/>
    <mergeCell ref="J91:K91"/>
    <mergeCell ref="J89:K89"/>
    <mergeCell ref="N90:O90"/>
    <mergeCell ref="L90:M90"/>
    <mergeCell ref="N87:O87"/>
    <mergeCell ref="N88:O88"/>
    <mergeCell ref="L89:M89"/>
    <mergeCell ref="V1:W1"/>
    <mergeCell ref="U15:W15"/>
    <mergeCell ref="O9:Q9"/>
    <mergeCell ref="K14:M14"/>
    <mergeCell ref="K15:M15"/>
    <mergeCell ref="U14:W14"/>
    <mergeCell ref="H37:J37"/>
    <mergeCell ref="U36:W36"/>
    <mergeCell ref="P39:R39"/>
    <mergeCell ref="P87:R87"/>
    <mergeCell ref="P90:R90"/>
    <mergeCell ref="P89:R89"/>
    <mergeCell ref="P88:R88"/>
    <mergeCell ref="U58:W58"/>
    <mergeCell ref="U54:W54"/>
    <mergeCell ref="U55:W55"/>
    <mergeCell ref="B90:D90"/>
    <mergeCell ref="B91:D91"/>
    <mergeCell ref="K1:N1"/>
    <mergeCell ref="R1:S1"/>
    <mergeCell ref="L46:N46"/>
    <mergeCell ref="L48:N48"/>
    <mergeCell ref="P48:R48"/>
    <mergeCell ref="B52:X52"/>
    <mergeCell ref="E90:F90"/>
    <mergeCell ref="U17:W17"/>
    <mergeCell ref="N91:O91"/>
    <mergeCell ref="J90:K90"/>
    <mergeCell ref="U23:W23"/>
    <mergeCell ref="B24:G24"/>
    <mergeCell ref="K24:M24"/>
    <mergeCell ref="U24:W24"/>
    <mergeCell ref="K22:M22"/>
    <mergeCell ref="B34:X34"/>
    <mergeCell ref="K27:M27"/>
    <mergeCell ref="B16:G16"/>
    <mergeCell ref="B15:G15"/>
    <mergeCell ref="U37:W37"/>
    <mergeCell ref="P37:R37"/>
    <mergeCell ref="B25:G25"/>
    <mergeCell ref="Z4:Z7"/>
    <mergeCell ref="K29:M29"/>
    <mergeCell ref="K30:M30"/>
    <mergeCell ref="K32:M32"/>
    <mergeCell ref="U32:W32"/>
    <mergeCell ref="K21:M21"/>
    <mergeCell ref="K16:M16"/>
    <mergeCell ref="U16:W16"/>
    <mergeCell ref="K19:M19"/>
    <mergeCell ref="K17:M17"/>
    <mergeCell ref="U22:W22"/>
    <mergeCell ref="K23:M23"/>
    <mergeCell ref="K20:M20"/>
    <mergeCell ref="Z9:Z11"/>
    <mergeCell ref="U18:W18"/>
    <mergeCell ref="U19:W19"/>
    <mergeCell ref="U20:W20"/>
    <mergeCell ref="U21:W21"/>
    <mergeCell ref="K18:M18"/>
    <mergeCell ref="K9:M9"/>
    <mergeCell ref="U27:W27"/>
    <mergeCell ref="B7:X7"/>
    <mergeCell ref="K25:M25"/>
    <mergeCell ref="U25:W25"/>
    <mergeCell ref="B113:F113"/>
    <mergeCell ref="N113:O113"/>
    <mergeCell ref="T113:W113"/>
    <mergeCell ref="Z102:Z106"/>
    <mergeCell ref="P113:R113"/>
    <mergeCell ref="B110:F112"/>
    <mergeCell ref="L110:M112"/>
    <mergeCell ref="U50:W50"/>
    <mergeCell ref="B92:D92"/>
    <mergeCell ref="B96:D96"/>
    <mergeCell ref="E95:F95"/>
    <mergeCell ref="E96:F96"/>
    <mergeCell ref="B95:D95"/>
    <mergeCell ref="B93:D93"/>
    <mergeCell ref="B94:D94"/>
    <mergeCell ref="G93:H93"/>
    <mergeCell ref="G92:H92"/>
    <mergeCell ref="E89:F89"/>
    <mergeCell ref="G91:H91"/>
    <mergeCell ref="I87:K87"/>
    <mergeCell ref="L87:M87"/>
    <mergeCell ref="N110:O112"/>
    <mergeCell ref="G113:K113"/>
    <mergeCell ref="G110:K112"/>
    <mergeCell ref="B152:D152"/>
    <mergeCell ref="E152:F152"/>
    <mergeCell ref="G152:H152"/>
    <mergeCell ref="J152:K152"/>
    <mergeCell ref="L152:M152"/>
    <mergeCell ref="N152:O152"/>
    <mergeCell ref="P152:R152"/>
    <mergeCell ref="B151:D151"/>
    <mergeCell ref="E151:F151"/>
    <mergeCell ref="G151:H151"/>
    <mergeCell ref="J151:K151"/>
    <mergeCell ref="L151:M151"/>
    <mergeCell ref="L113:M113"/>
    <mergeCell ref="B114:F114"/>
    <mergeCell ref="G114:K114"/>
    <mergeCell ref="N151:O151"/>
    <mergeCell ref="P150:R150"/>
    <mergeCell ref="U124:W124"/>
    <mergeCell ref="P117:R117"/>
    <mergeCell ref="U117:W117"/>
    <mergeCell ref="P133:R133"/>
    <mergeCell ref="P134:R134"/>
    <mergeCell ref="U136:W136"/>
    <mergeCell ref="U138:W138"/>
    <mergeCell ref="L114:M114"/>
    <mergeCell ref="N114:O114"/>
    <mergeCell ref="L119:O119"/>
    <mergeCell ref="U119:W119"/>
    <mergeCell ref="T114:W114"/>
    <mergeCell ref="L115:M115"/>
    <mergeCell ref="N115:O115"/>
    <mergeCell ref="T115:W115"/>
    <mergeCell ref="U121:W121"/>
    <mergeCell ref="P149:R149"/>
    <mergeCell ref="B149:D149"/>
    <mergeCell ref="P114:R114"/>
    <mergeCell ref="P115:R115"/>
    <mergeCell ref="B115:F115"/>
    <mergeCell ref="G115:K115"/>
    <mergeCell ref="L148:M148"/>
    <mergeCell ref="N148:O148"/>
    <mergeCell ref="L133:M133"/>
    <mergeCell ref="N133:O133"/>
    <mergeCell ref="F134:K134"/>
    <mergeCell ref="L138:O138"/>
    <mergeCell ref="B134:E134"/>
    <mergeCell ref="B129:E131"/>
    <mergeCell ref="F129:K131"/>
    <mergeCell ref="F132:K132"/>
    <mergeCell ref="B133:E133"/>
    <mergeCell ref="F133:K133"/>
    <mergeCell ref="L129:M131"/>
    <mergeCell ref="N129:O131"/>
    <mergeCell ref="L132:M132"/>
    <mergeCell ref="N132:O132"/>
    <mergeCell ref="L147:M147"/>
    <mergeCell ref="N147:O147"/>
    <mergeCell ref="P154:R154"/>
    <mergeCell ref="U154:W154"/>
    <mergeCell ref="U156:W156"/>
    <mergeCell ref="U158:W158"/>
    <mergeCell ref="P132:R132"/>
    <mergeCell ref="T132:W132"/>
    <mergeCell ref="T133:W133"/>
    <mergeCell ref="U140:W140"/>
    <mergeCell ref="P136:R136"/>
    <mergeCell ref="L149:M149"/>
    <mergeCell ref="N149:O149"/>
    <mergeCell ref="P151:R151"/>
    <mergeCell ref="N150:O150"/>
    <mergeCell ref="T134:W134"/>
    <mergeCell ref="B132:E132"/>
    <mergeCell ref="L134:M134"/>
    <mergeCell ref="N134:O134"/>
    <mergeCell ref="B147:D147"/>
    <mergeCell ref="E147:F147"/>
    <mergeCell ref="G147:H147"/>
    <mergeCell ref="I147:K147"/>
    <mergeCell ref="L146:M146"/>
    <mergeCell ref="N146:O146"/>
    <mergeCell ref="B146:D146"/>
    <mergeCell ref="E146:F146"/>
    <mergeCell ref="G146:H146"/>
    <mergeCell ref="I146:K146"/>
    <mergeCell ref="E149:F149"/>
    <mergeCell ref="G149:H149"/>
    <mergeCell ref="J149:K149"/>
    <mergeCell ref="U164:W164"/>
    <mergeCell ref="U166:W166"/>
    <mergeCell ref="E148:F148"/>
    <mergeCell ref="G148:H148"/>
    <mergeCell ref="I148:K148"/>
    <mergeCell ref="Z164:Z166"/>
    <mergeCell ref="P110:R112"/>
    <mergeCell ref="P129:R131"/>
    <mergeCell ref="P146:R148"/>
    <mergeCell ref="Z119:Z121"/>
    <mergeCell ref="Z138:Z140"/>
    <mergeCell ref="Z156:Z158"/>
    <mergeCell ref="Z129:Z134"/>
    <mergeCell ref="Z143:Z145"/>
    <mergeCell ref="Z147:Z149"/>
    <mergeCell ref="Z150:Z154"/>
    <mergeCell ref="U160:W160"/>
    <mergeCell ref="B161:X161"/>
    <mergeCell ref="U163:W163"/>
    <mergeCell ref="B150:D150"/>
    <mergeCell ref="E150:F150"/>
    <mergeCell ref="G150:H150"/>
    <mergeCell ref="J150:K150"/>
    <mergeCell ref="L150:M150"/>
  </mergeCells>
  <phoneticPr fontId="9" type="noConversion"/>
  <conditionalFormatting sqref="L149:O152 L132:O135 U160:W160 U162:W162 U102:W103 U106:W109 I77 N80 N47:O47 E42 L50:L51 L45 L46:N46 U51:W51 U35:W47 Q43:Q47 U4:W6 P42:Q42 U61:W61 U53:W57 L41 I42 U59:W59 L113:O116 L89:O99 U65:W72 U74:W74 U63:W63 U76:W76">
    <cfRule type="cellIs" dxfId="23" priority="7" stopIfTrue="1" operator="equal">
      <formula>0</formula>
    </cfRule>
  </conditionalFormatting>
  <conditionalFormatting sqref="P135:R135 P89:R99 U163:U167 U157 P116:R116">
    <cfRule type="cellIs" dxfId="22" priority="8" stopIfTrue="1" operator="equal">
      <formula>"Auswahl!"</formula>
    </cfRule>
  </conditionalFormatting>
  <conditionalFormatting sqref="B162:N162 B53:N53 B35:N35">
    <cfRule type="cellIs" dxfId="21" priority="17" stopIfTrue="1" operator="equal">
      <formula>"Unterhaltsrechtlich zusätzlich zu berücksichtigendes Einkommen"</formula>
    </cfRule>
  </conditionalFormatting>
  <conditionalFormatting sqref="E135 E90:E99 E116 E149:E152">
    <cfRule type="cellIs" dxfId="20" priority="9" stopIfTrue="1" operator="equal">
      <formula>"entfällt"</formula>
    </cfRule>
  </conditionalFormatting>
  <conditionalFormatting sqref="B135:D135 B149:D152 B116:D116 B90:D99">
    <cfRule type="cellIs" dxfId="19" priority="16" stopIfTrue="1" operator="equal">
      <formula>"Name eingeben"</formula>
    </cfRule>
  </conditionalFormatting>
  <conditionalFormatting sqref="G149:H152">
    <cfRule type="cellIs" dxfId="18" priority="27" stopIfTrue="1" operator="equal">
      <formula>"minderj.!"</formula>
    </cfRule>
  </conditionalFormatting>
  <conditionalFormatting sqref="N77 B4:I6 B77">
    <cfRule type="cellIs" dxfId="17" priority="10" stopIfTrue="1" operator="equal">
      <formula>"Vermietung / Verpachtung"</formula>
    </cfRule>
  </conditionalFormatting>
  <conditionalFormatting sqref="B59:N59">
    <cfRule type="cellIs" dxfId="16" priority="11" stopIfTrue="1" operator="equal">
      <formula>"Nettoeinkünfte aus Selbstständigkeit, siehe ggf. Nebenrechnung"</formula>
    </cfRule>
  </conditionalFormatting>
  <conditionalFormatting sqref="B54:N54">
    <cfRule type="cellIs" dxfId="15" priority="12" stopIfTrue="1" operator="equal">
      <formula>"Einkünfte aus Vermietung/Verpachtung"</formula>
    </cfRule>
  </conditionalFormatting>
  <conditionalFormatting sqref="B55:N55">
    <cfRule type="cellIs" dxfId="14" priority="13" stopIfTrue="1" operator="equal">
      <formula>"Renteneinkünfte"</formula>
    </cfRule>
  </conditionalFormatting>
  <conditionalFormatting sqref="B56:N56">
    <cfRule type="cellIs" dxfId="13" priority="14" stopIfTrue="1" operator="equal">
      <formula>"Einkünfte aus Zinsen, Dividenden, Kapitalerlösen"</formula>
    </cfRule>
  </conditionalFormatting>
  <conditionalFormatting sqref="B57:N57">
    <cfRule type="cellIs" dxfId="12" priority="15" stopIfTrue="1" operator="equal">
      <formula>"Sonstige Zuwendungen"</formula>
    </cfRule>
  </conditionalFormatting>
  <conditionalFormatting sqref="B46:K46">
    <cfRule type="cellIs" dxfId="11" priority="18" stopIfTrue="1" operator="equal">
      <formula>"Sonstiger berufsbedingter Aufwand"</formula>
    </cfRule>
  </conditionalFormatting>
  <conditionalFormatting sqref="K14:M26 U14:W26">
    <cfRule type="cellIs" dxfId="10" priority="19" stopIfTrue="1" operator="equal">
      <formula>0</formula>
    </cfRule>
    <cfRule type="cellIs" dxfId="9" priority="20" stopIfTrue="1" operator="greaterThan">
      <formula>0</formula>
    </cfRule>
    <cfRule type="cellIs" dxfId="8" priority="21" stopIfTrue="1" operator="lessThan">
      <formula>0</formula>
    </cfRule>
  </conditionalFormatting>
  <conditionalFormatting sqref="B67:N67">
    <cfRule type="cellIs" dxfId="7" priority="2" stopIfTrue="1" operator="equal">
      <formula>"Beitrag zur Altersvorsorge"</formula>
    </cfRule>
  </conditionalFormatting>
  <conditionalFormatting sqref="B68:N68">
    <cfRule type="cellIs" dxfId="6" priority="3" stopIfTrue="1" operator="equal">
      <formula>"Beitrag zur Krankenversicherung"</formula>
    </cfRule>
  </conditionalFormatting>
  <conditionalFormatting sqref="B69:N69">
    <cfRule type="cellIs" dxfId="5" priority="4" stopIfTrue="1" operator="equal">
      <formula>"Beitrag zur Pflegeversicherung"</formula>
    </cfRule>
  </conditionalFormatting>
  <conditionalFormatting sqref="B70:N70">
    <cfRule type="cellIs" dxfId="4" priority="5" stopIfTrue="1" operator="equal">
      <formula>"Beitrag zur Arbeitslosenversicherung"</formula>
    </cfRule>
  </conditionalFormatting>
  <conditionalFormatting sqref="B71:N71">
    <cfRule type="cellIs" dxfId="3" priority="1" operator="equal">
      <formula>"Schuldverpflichtungen"</formula>
    </cfRule>
    <cfRule type="cellIs" dxfId="2" priority="6" stopIfTrue="1" operator="equal">
      <formula>"Sonstiger Beitrag"</formula>
    </cfRule>
  </conditionalFormatting>
  <dataValidations count="2">
    <dataValidation allowBlank="1" showInputMessage="1" showErrorMessage="1" promptTitle="Pflichtfeld" prompt="Sie müssen das von- und bis-Datum des Einkommenszeitraums eintragen, damit der mtl. Durchschnitt korrekt ermittelt wird." sqref="K9:M9 O9:Q9" xr:uid="{00000000-0002-0000-0200-000000000000}"/>
    <dataValidation allowBlank="1" showInputMessage="1" promptTitle="Hinweis" prompt="Den hier vorgeschlagenen Text können Sie überschreiben." sqref="B46:J46 B54:N57" xr:uid="{00000000-0002-0000-0200-000001000000}"/>
  </dataValidations>
  <hyperlinks>
    <hyperlink ref="K1" r:id="rId1" tooltip="www.kostenbeitrag.de - Infos für Jugendämter in Hessen" xr:uid="{00000000-0004-0000-0200-000000000000}"/>
  </hyperlinks>
  <pageMargins left="0.78740157480314965" right="0.39370078740157483" top="0.59055118110236227" bottom="0.59055118110236227" header="0.39370078740157483" footer="0.39370078740157483"/>
  <pageSetup paperSize="9" scale="80" orientation="portrait" blackAndWhite="1" r:id="rId2"/>
  <headerFooter alignWithMargins="0">
    <oddFooter>&amp;R&amp;8&amp;F
&amp;A
Seite &amp;P/&amp;N</oddFooter>
  </headerFooter>
  <rowBreaks count="2" manualBreakCount="2">
    <brk id="61" max="16383" man="1"/>
    <brk id="122"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050" r:id="rId5" name="Drop Down 2">
              <controlPr defaultSize="0" print="0" autoLine="0" autoPict="0">
                <anchor moveWithCells="1">
                  <from>
                    <xdr:col>8</xdr:col>
                    <xdr:colOff>0</xdr:colOff>
                    <xdr:row>88</xdr:row>
                    <xdr:rowOff>0</xdr:rowOff>
                  </from>
                  <to>
                    <xdr:col>11</xdr:col>
                    <xdr:colOff>0</xdr:colOff>
                    <xdr:row>89</xdr:row>
                    <xdr:rowOff>0</xdr:rowOff>
                  </to>
                </anchor>
              </controlPr>
            </control>
          </mc:Choice>
        </mc:AlternateContent>
        <mc:AlternateContent xmlns:mc="http://schemas.openxmlformats.org/markup-compatibility/2006">
          <mc:Choice Requires="x14">
            <control shapeId="2051" r:id="rId6" name="Drop Down 3">
              <controlPr defaultSize="0" print="0" autoLine="0" autoPict="0">
                <anchor moveWithCells="1">
                  <from>
                    <xdr:col>8</xdr:col>
                    <xdr:colOff>0</xdr:colOff>
                    <xdr:row>89</xdr:row>
                    <xdr:rowOff>0</xdr:rowOff>
                  </from>
                  <to>
                    <xdr:col>11</xdr:col>
                    <xdr:colOff>0</xdr:colOff>
                    <xdr:row>90</xdr:row>
                    <xdr:rowOff>0</xdr:rowOff>
                  </to>
                </anchor>
              </controlPr>
            </control>
          </mc:Choice>
        </mc:AlternateContent>
        <mc:AlternateContent xmlns:mc="http://schemas.openxmlformats.org/markup-compatibility/2006">
          <mc:Choice Requires="x14">
            <control shapeId="2052" r:id="rId7" name="Drop Down 4">
              <controlPr defaultSize="0" print="0" autoLine="0" autoPict="0">
                <anchor moveWithCells="1">
                  <from>
                    <xdr:col>8</xdr:col>
                    <xdr:colOff>0</xdr:colOff>
                    <xdr:row>90</xdr:row>
                    <xdr:rowOff>0</xdr:rowOff>
                  </from>
                  <to>
                    <xdr:col>11</xdr:col>
                    <xdr:colOff>0</xdr:colOff>
                    <xdr:row>91</xdr:row>
                    <xdr:rowOff>0</xdr:rowOff>
                  </to>
                </anchor>
              </controlPr>
            </control>
          </mc:Choice>
        </mc:AlternateContent>
        <mc:AlternateContent xmlns:mc="http://schemas.openxmlformats.org/markup-compatibility/2006">
          <mc:Choice Requires="x14">
            <control shapeId="2053" r:id="rId8" name="Drop Down 5">
              <controlPr defaultSize="0" print="0" autoLine="0" autoPict="0">
                <anchor moveWithCells="1">
                  <from>
                    <xdr:col>8</xdr:col>
                    <xdr:colOff>0</xdr:colOff>
                    <xdr:row>91</xdr:row>
                    <xdr:rowOff>0</xdr:rowOff>
                  </from>
                  <to>
                    <xdr:col>11</xdr:col>
                    <xdr:colOff>0</xdr:colOff>
                    <xdr:row>92</xdr:row>
                    <xdr:rowOff>0</xdr:rowOff>
                  </to>
                </anchor>
              </controlPr>
            </control>
          </mc:Choice>
        </mc:AlternateContent>
        <mc:AlternateContent xmlns:mc="http://schemas.openxmlformats.org/markup-compatibility/2006">
          <mc:Choice Requires="x14">
            <control shapeId="2054" r:id="rId9" name="Drop Down 6">
              <controlPr defaultSize="0" print="0" autoLine="0" autoPict="0">
                <anchor moveWithCells="1">
                  <from>
                    <xdr:col>8</xdr:col>
                    <xdr:colOff>0</xdr:colOff>
                    <xdr:row>92</xdr:row>
                    <xdr:rowOff>0</xdr:rowOff>
                  </from>
                  <to>
                    <xdr:col>11</xdr:col>
                    <xdr:colOff>0</xdr:colOff>
                    <xdr:row>93</xdr:row>
                    <xdr:rowOff>0</xdr:rowOff>
                  </to>
                </anchor>
              </controlPr>
            </control>
          </mc:Choice>
        </mc:AlternateContent>
        <mc:AlternateContent xmlns:mc="http://schemas.openxmlformats.org/markup-compatibility/2006">
          <mc:Choice Requires="x14">
            <control shapeId="2055" r:id="rId10" name="Drop Down 7">
              <controlPr defaultSize="0" print="0" autoLine="0" autoPict="0">
                <anchor moveWithCells="1">
                  <from>
                    <xdr:col>8</xdr:col>
                    <xdr:colOff>0</xdr:colOff>
                    <xdr:row>93</xdr:row>
                    <xdr:rowOff>0</xdr:rowOff>
                  </from>
                  <to>
                    <xdr:col>11</xdr:col>
                    <xdr:colOff>0</xdr:colOff>
                    <xdr:row>94</xdr:row>
                    <xdr:rowOff>0</xdr:rowOff>
                  </to>
                </anchor>
              </controlPr>
            </control>
          </mc:Choice>
        </mc:AlternateContent>
        <mc:AlternateContent xmlns:mc="http://schemas.openxmlformats.org/markup-compatibility/2006">
          <mc:Choice Requires="x14">
            <control shapeId="2056" r:id="rId11" name="Drop Down 8">
              <controlPr defaultSize="0" print="0" autoLine="0" autoPict="0">
                <anchor moveWithCells="1">
                  <from>
                    <xdr:col>8</xdr:col>
                    <xdr:colOff>0</xdr:colOff>
                    <xdr:row>94</xdr:row>
                    <xdr:rowOff>0</xdr:rowOff>
                  </from>
                  <to>
                    <xdr:col>11</xdr:col>
                    <xdr:colOff>0</xdr:colOff>
                    <xdr:row>95</xdr:row>
                    <xdr:rowOff>0</xdr:rowOff>
                  </to>
                </anchor>
              </controlPr>
            </control>
          </mc:Choice>
        </mc:AlternateContent>
        <mc:AlternateContent xmlns:mc="http://schemas.openxmlformats.org/markup-compatibility/2006">
          <mc:Choice Requires="x14">
            <control shapeId="2057" r:id="rId12" name="Drop Down 9">
              <controlPr defaultSize="0" print="0" autoLine="0" autoPict="0">
                <anchor moveWithCells="1">
                  <from>
                    <xdr:col>8</xdr:col>
                    <xdr:colOff>0</xdr:colOff>
                    <xdr:row>95</xdr:row>
                    <xdr:rowOff>0</xdr:rowOff>
                  </from>
                  <to>
                    <xdr:col>11</xdr:col>
                    <xdr:colOff>0</xdr:colOff>
                    <xdr:row>96</xdr:row>
                    <xdr:rowOff>0</xdr:rowOff>
                  </to>
                </anchor>
              </controlPr>
            </control>
          </mc:Choice>
        </mc:AlternateContent>
        <mc:AlternateContent xmlns:mc="http://schemas.openxmlformats.org/markup-compatibility/2006">
          <mc:Choice Requires="x14">
            <control shapeId="2058" r:id="rId13" name="Drop Down 10">
              <controlPr defaultSize="0" print="0" autoLine="0" autoPict="0">
                <anchor moveWithCells="1">
                  <from>
                    <xdr:col>8</xdr:col>
                    <xdr:colOff>0</xdr:colOff>
                    <xdr:row>96</xdr:row>
                    <xdr:rowOff>0</xdr:rowOff>
                  </from>
                  <to>
                    <xdr:col>11</xdr:col>
                    <xdr:colOff>0</xdr:colOff>
                    <xdr:row>97</xdr:row>
                    <xdr:rowOff>0</xdr:rowOff>
                  </to>
                </anchor>
              </controlPr>
            </control>
          </mc:Choice>
        </mc:AlternateContent>
        <mc:AlternateContent xmlns:mc="http://schemas.openxmlformats.org/markup-compatibility/2006">
          <mc:Choice Requires="x14">
            <control shapeId="2059" r:id="rId14" name="Drop Down 11">
              <controlPr defaultSize="0" print="0" autoLine="0" autoPict="0">
                <anchor moveWithCells="1">
                  <from>
                    <xdr:col>8</xdr:col>
                    <xdr:colOff>0</xdr:colOff>
                    <xdr:row>97</xdr:row>
                    <xdr:rowOff>0</xdr:rowOff>
                  </from>
                  <to>
                    <xdr:col>11</xdr:col>
                    <xdr:colOff>0</xdr:colOff>
                    <xdr:row>98</xdr:row>
                    <xdr:rowOff>0</xdr:rowOff>
                  </to>
                </anchor>
              </controlPr>
            </control>
          </mc:Choice>
        </mc:AlternateContent>
        <mc:AlternateContent xmlns:mc="http://schemas.openxmlformats.org/markup-compatibility/2006">
          <mc:Choice Requires="x14">
            <control shapeId="2061" r:id="rId15" name="Drop Down 13">
              <controlPr defaultSize="0" print="0" autoLine="0" autoPict="0">
                <anchor moveWithCells="1">
                  <from>
                    <xdr:col>5</xdr:col>
                    <xdr:colOff>0</xdr:colOff>
                    <xdr:row>131</xdr:row>
                    <xdr:rowOff>0</xdr:rowOff>
                  </from>
                  <to>
                    <xdr:col>11</xdr:col>
                    <xdr:colOff>0</xdr:colOff>
                    <xdr:row>132</xdr:row>
                    <xdr:rowOff>0</xdr:rowOff>
                  </to>
                </anchor>
              </controlPr>
            </control>
          </mc:Choice>
        </mc:AlternateContent>
        <mc:AlternateContent xmlns:mc="http://schemas.openxmlformats.org/markup-compatibility/2006">
          <mc:Choice Requires="x14">
            <control shapeId="2062" r:id="rId16" name="Drop Down 14">
              <controlPr defaultSize="0" print="0" autoLine="0" autoPict="0">
                <anchor moveWithCells="1">
                  <from>
                    <xdr:col>5</xdr:col>
                    <xdr:colOff>0</xdr:colOff>
                    <xdr:row>132</xdr:row>
                    <xdr:rowOff>0</xdr:rowOff>
                  </from>
                  <to>
                    <xdr:col>11</xdr:col>
                    <xdr:colOff>0</xdr:colOff>
                    <xdr:row>133</xdr:row>
                    <xdr:rowOff>0</xdr:rowOff>
                  </to>
                </anchor>
              </controlPr>
            </control>
          </mc:Choice>
        </mc:AlternateContent>
        <mc:AlternateContent xmlns:mc="http://schemas.openxmlformats.org/markup-compatibility/2006">
          <mc:Choice Requires="x14">
            <control shapeId="2063" r:id="rId17" name="Drop Down 15">
              <controlPr defaultSize="0" print="0" autoLine="0" autoPict="0">
                <anchor moveWithCells="1">
                  <from>
                    <xdr:col>5</xdr:col>
                    <xdr:colOff>0</xdr:colOff>
                    <xdr:row>133</xdr:row>
                    <xdr:rowOff>0</xdr:rowOff>
                  </from>
                  <to>
                    <xdr:col>11</xdr:col>
                    <xdr:colOff>0</xdr:colOff>
                    <xdr:row>134</xdr:row>
                    <xdr:rowOff>0</xdr:rowOff>
                  </to>
                </anchor>
              </controlPr>
            </control>
          </mc:Choice>
        </mc:AlternateContent>
        <mc:AlternateContent xmlns:mc="http://schemas.openxmlformats.org/markup-compatibility/2006">
          <mc:Choice Requires="x14">
            <control shapeId="2068" r:id="rId18" name="Drop Down 20">
              <controlPr defaultSize="0" print="0" autoLine="0" autoPict="0">
                <anchor moveWithCells="1">
                  <from>
                    <xdr:col>8</xdr:col>
                    <xdr:colOff>0</xdr:colOff>
                    <xdr:row>148</xdr:row>
                    <xdr:rowOff>0</xdr:rowOff>
                  </from>
                  <to>
                    <xdr:col>11</xdr:col>
                    <xdr:colOff>0</xdr:colOff>
                    <xdr:row>149</xdr:row>
                    <xdr:rowOff>0</xdr:rowOff>
                  </to>
                </anchor>
              </controlPr>
            </control>
          </mc:Choice>
        </mc:AlternateContent>
        <mc:AlternateContent xmlns:mc="http://schemas.openxmlformats.org/markup-compatibility/2006">
          <mc:Choice Requires="x14">
            <control shapeId="2069" r:id="rId19" name="Drop Down 21">
              <controlPr defaultSize="0" print="0" autoLine="0" autoPict="0">
                <anchor moveWithCells="1">
                  <from>
                    <xdr:col>8</xdr:col>
                    <xdr:colOff>0</xdr:colOff>
                    <xdr:row>149</xdr:row>
                    <xdr:rowOff>0</xdr:rowOff>
                  </from>
                  <to>
                    <xdr:col>11</xdr:col>
                    <xdr:colOff>0</xdr:colOff>
                    <xdr:row>150</xdr:row>
                    <xdr:rowOff>0</xdr:rowOff>
                  </to>
                </anchor>
              </controlPr>
            </control>
          </mc:Choice>
        </mc:AlternateContent>
        <mc:AlternateContent xmlns:mc="http://schemas.openxmlformats.org/markup-compatibility/2006">
          <mc:Choice Requires="x14">
            <control shapeId="2070" r:id="rId20" name="Drop Down 22">
              <controlPr defaultSize="0" print="0" autoLine="0" autoPict="0">
                <anchor moveWithCells="1">
                  <from>
                    <xdr:col>8</xdr:col>
                    <xdr:colOff>0</xdr:colOff>
                    <xdr:row>150</xdr:row>
                    <xdr:rowOff>0</xdr:rowOff>
                  </from>
                  <to>
                    <xdr:col>11</xdr:col>
                    <xdr:colOff>0</xdr:colOff>
                    <xdr:row>151</xdr:row>
                    <xdr:rowOff>0</xdr:rowOff>
                  </to>
                </anchor>
              </controlPr>
            </control>
          </mc:Choice>
        </mc:AlternateContent>
        <mc:AlternateContent xmlns:mc="http://schemas.openxmlformats.org/markup-compatibility/2006">
          <mc:Choice Requires="x14">
            <control shapeId="2071" r:id="rId21" name="Drop Down 23">
              <controlPr defaultSize="0" print="0" autoLine="0" autoPict="0">
                <anchor moveWithCells="1">
                  <from>
                    <xdr:col>8</xdr:col>
                    <xdr:colOff>0</xdr:colOff>
                    <xdr:row>151</xdr:row>
                    <xdr:rowOff>0</xdr:rowOff>
                  </from>
                  <to>
                    <xdr:col>11</xdr:col>
                    <xdr:colOff>0</xdr:colOff>
                    <xdr:row>152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3"/>
  </sheetPr>
  <dimension ref="A1:I39"/>
  <sheetViews>
    <sheetView showGridLines="0" showRowColHeaders="0" workbookViewId="0">
      <pane ySplit="3" topLeftCell="A4" activePane="bottomLeft" state="frozenSplit"/>
      <selection activeCell="K9" sqref="K9:W9"/>
      <selection pane="bottomLeft" activeCell="A4" sqref="A4"/>
    </sheetView>
  </sheetViews>
  <sheetFormatPr baseColWidth="10" defaultRowHeight="12.75" x14ac:dyDescent="0.2"/>
  <cols>
    <col min="1" max="1" width="4.7109375" style="322" customWidth="1"/>
    <col min="2" max="2" width="13.140625" style="323" customWidth="1"/>
    <col min="3" max="3" width="20.7109375" style="323" customWidth="1"/>
    <col min="4" max="7" width="14.5703125" style="322" customWidth="1"/>
    <col min="8" max="8" width="4.7109375" style="322" customWidth="1"/>
    <col min="9" max="9" width="65.28515625" style="340" customWidth="1"/>
    <col min="10" max="16384" width="11.42578125" style="322"/>
  </cols>
  <sheetData>
    <row r="1" spans="1:9" ht="21.75" customHeight="1" x14ac:dyDescent="0.2">
      <c r="A1" s="320"/>
      <c r="B1" s="50" t="s">
        <v>131</v>
      </c>
      <c r="C1" s="321"/>
      <c r="D1" s="320"/>
      <c r="E1" s="311" t="s">
        <v>132</v>
      </c>
      <c r="F1" s="318" t="s">
        <v>133</v>
      </c>
      <c r="G1" s="319">
        <f>Hauptberechnung!V1</f>
        <v>43159</v>
      </c>
      <c r="H1" s="311"/>
      <c r="I1" s="338" t="s">
        <v>206</v>
      </c>
    </row>
    <row r="2" spans="1:9" ht="12" customHeight="1" x14ac:dyDescent="0.2">
      <c r="B2" s="159" t="str">
        <f>"Anlage zur Kostenbeitragsberechnung "&amp;NameJM&amp;" / "&amp;NamePflichtiger&amp;" für die Zeit ab "&amp;(DAY(KBZeitraumVon)&amp;"."&amp;MONTH(KBZeitraumVon)&amp;"."&amp;YEAR(KBZeitraumVon))</f>
        <v>Anlage zur Kostenbeitragsberechnung Name JM / Name Pflichtige/r für die Zeit ab 0.1.1900</v>
      </c>
      <c r="H2" s="334"/>
      <c r="I2" s="339"/>
    </row>
    <row r="3" spans="1:9" ht="32.1" customHeight="1" x14ac:dyDescent="0.2">
      <c r="H3" s="334"/>
      <c r="I3" s="339" t="s">
        <v>53</v>
      </c>
    </row>
    <row r="4" spans="1:9" ht="22.5" customHeight="1" x14ac:dyDescent="0.2">
      <c r="B4" s="58" t="s">
        <v>338</v>
      </c>
      <c r="H4" s="334"/>
      <c r="I4" s="213"/>
    </row>
    <row r="5" spans="1:9" ht="14.25" x14ac:dyDescent="0.2">
      <c r="B5" s="61" t="s">
        <v>339</v>
      </c>
      <c r="H5" s="334"/>
      <c r="I5" s="213"/>
    </row>
    <row r="6" spans="1:9" ht="8.1" customHeight="1" x14ac:dyDescent="0.2">
      <c r="H6" s="334"/>
      <c r="I6" s="339"/>
    </row>
    <row r="7" spans="1:9" ht="56.25" customHeight="1" x14ac:dyDescent="0.2">
      <c r="B7" s="328" t="s">
        <v>344</v>
      </c>
      <c r="C7" s="328" t="s">
        <v>50</v>
      </c>
      <c r="D7" s="328" t="s">
        <v>46</v>
      </c>
      <c r="E7" s="328" t="s">
        <v>47</v>
      </c>
      <c r="F7" s="328" t="s">
        <v>48</v>
      </c>
      <c r="G7" s="328" t="s">
        <v>49</v>
      </c>
      <c r="H7" s="334"/>
      <c r="I7" s="339"/>
    </row>
    <row r="8" spans="1:9" ht="14.1" customHeight="1" x14ac:dyDescent="0.2">
      <c r="B8" s="324">
        <f>KBParameter!A2</f>
        <v>1</v>
      </c>
      <c r="C8" s="329">
        <f>KBParameter!B2</f>
        <v>1100.99</v>
      </c>
      <c r="D8" s="329">
        <f>KBParameter!C2</f>
        <v>0</v>
      </c>
      <c r="E8" s="329">
        <f>KBParameter!D2</f>
        <v>0</v>
      </c>
      <c r="F8" s="329">
        <f>KBParameter!E2</f>
        <v>0</v>
      </c>
      <c r="G8" s="329">
        <f>KBParameter!F2</f>
        <v>0</v>
      </c>
      <c r="H8" s="334"/>
      <c r="I8" s="339"/>
    </row>
    <row r="9" spans="1:9" ht="14.1" customHeight="1" x14ac:dyDescent="0.2">
      <c r="B9" s="324">
        <f>KBParameter!A3</f>
        <v>2</v>
      </c>
      <c r="C9" s="329">
        <f>KBParameter!B3</f>
        <v>1200.99</v>
      </c>
      <c r="D9" s="329">
        <f>KBParameter!C3</f>
        <v>50</v>
      </c>
      <c r="E9" s="329">
        <f>KBParameter!D3</f>
        <v>0</v>
      </c>
      <c r="F9" s="329">
        <f>KBParameter!E3</f>
        <v>0</v>
      </c>
      <c r="G9" s="329">
        <f>KBParameter!F3</f>
        <v>40</v>
      </c>
      <c r="H9" s="334"/>
      <c r="I9" s="339"/>
    </row>
    <row r="10" spans="1:9" ht="14.1" customHeight="1" x14ac:dyDescent="0.2">
      <c r="B10" s="324">
        <f>KBParameter!A4</f>
        <v>3</v>
      </c>
      <c r="C10" s="329">
        <f>KBParameter!B4</f>
        <v>1300.99</v>
      </c>
      <c r="D10" s="329">
        <f>KBParameter!C4</f>
        <v>130</v>
      </c>
      <c r="E10" s="329">
        <f>KBParameter!D4</f>
        <v>0</v>
      </c>
      <c r="F10" s="329">
        <f>KBParameter!E4</f>
        <v>0</v>
      </c>
      <c r="G10" s="329">
        <f>KBParameter!F4</f>
        <v>50</v>
      </c>
      <c r="H10" s="334"/>
      <c r="I10" s="339"/>
    </row>
    <row r="11" spans="1:9" ht="14.1" customHeight="1" x14ac:dyDescent="0.2">
      <c r="B11" s="324">
        <f>KBParameter!A5</f>
        <v>4</v>
      </c>
      <c r="C11" s="329">
        <f>KBParameter!B5</f>
        <v>1450.99</v>
      </c>
      <c r="D11" s="329">
        <f>KBParameter!C5</f>
        <v>210</v>
      </c>
      <c r="E11" s="329">
        <f>KBParameter!D5</f>
        <v>30</v>
      </c>
      <c r="F11" s="329">
        <f>KBParameter!E5</f>
        <v>0</v>
      </c>
      <c r="G11" s="329">
        <f>KBParameter!F5</f>
        <v>60</v>
      </c>
      <c r="H11" s="334"/>
      <c r="I11" s="339"/>
    </row>
    <row r="12" spans="1:9" ht="14.1" customHeight="1" x14ac:dyDescent="0.2">
      <c r="B12" s="324">
        <f>KBParameter!A6</f>
        <v>5</v>
      </c>
      <c r="C12" s="329">
        <f>KBParameter!B6</f>
        <v>1600.99</v>
      </c>
      <c r="D12" s="329">
        <f>KBParameter!C6</f>
        <v>259</v>
      </c>
      <c r="E12" s="329">
        <f>KBParameter!D6</f>
        <v>60</v>
      </c>
      <c r="F12" s="329">
        <f>KBParameter!E6</f>
        <v>30</v>
      </c>
      <c r="G12" s="329">
        <f>KBParameter!F6</f>
        <v>70</v>
      </c>
      <c r="H12" s="334"/>
      <c r="I12" s="339"/>
    </row>
    <row r="13" spans="1:9" ht="14.1" customHeight="1" x14ac:dyDescent="0.2">
      <c r="B13" s="324">
        <f>KBParameter!A7</f>
        <v>6</v>
      </c>
      <c r="C13" s="329">
        <f>KBParameter!B7</f>
        <v>1800.99</v>
      </c>
      <c r="D13" s="329">
        <f>KBParameter!C7</f>
        <v>289</v>
      </c>
      <c r="E13" s="329">
        <f>KBParameter!D7</f>
        <v>85</v>
      </c>
      <c r="F13" s="329">
        <f>KBParameter!E7</f>
        <v>40</v>
      </c>
      <c r="G13" s="329">
        <f>KBParameter!F7</f>
        <v>85</v>
      </c>
      <c r="H13" s="334"/>
      <c r="I13" s="339"/>
    </row>
    <row r="14" spans="1:9" ht="14.1" customHeight="1" x14ac:dyDescent="0.2">
      <c r="B14" s="324">
        <f>KBParameter!A8</f>
        <v>7</v>
      </c>
      <c r="C14" s="329">
        <f>KBParameter!B8</f>
        <v>2000.99</v>
      </c>
      <c r="D14" s="329">
        <f>KBParameter!C8</f>
        <v>342</v>
      </c>
      <c r="E14" s="329">
        <f>KBParameter!D8</f>
        <v>105</v>
      </c>
      <c r="F14" s="329">
        <f>KBParameter!E8</f>
        <v>50</v>
      </c>
      <c r="G14" s="329">
        <f>KBParameter!F8</f>
        <v>95</v>
      </c>
      <c r="H14" s="334"/>
      <c r="I14" s="339"/>
    </row>
    <row r="15" spans="1:9" ht="14.1" customHeight="1" x14ac:dyDescent="0.2">
      <c r="B15" s="324">
        <f>KBParameter!A9</f>
        <v>8</v>
      </c>
      <c r="C15" s="329">
        <f>KBParameter!B9</f>
        <v>2200.9899999999998</v>
      </c>
      <c r="D15" s="329">
        <f>KBParameter!C9</f>
        <v>378</v>
      </c>
      <c r="E15" s="329">
        <f>KBParameter!D9</f>
        <v>140</v>
      </c>
      <c r="F15" s="329">
        <f>KBParameter!E9</f>
        <v>60</v>
      </c>
      <c r="G15" s="329">
        <f>KBParameter!F9</f>
        <v>105</v>
      </c>
      <c r="H15" s="334"/>
      <c r="I15" s="339"/>
    </row>
    <row r="16" spans="1:9" ht="14.1" customHeight="1" x14ac:dyDescent="0.2">
      <c r="B16" s="324">
        <f>KBParameter!A10</f>
        <v>9</v>
      </c>
      <c r="C16" s="329">
        <f>KBParameter!B10</f>
        <v>2400.9899999999998</v>
      </c>
      <c r="D16" s="329">
        <f>KBParameter!C10</f>
        <v>437</v>
      </c>
      <c r="E16" s="329">
        <f>KBParameter!D10</f>
        <v>175</v>
      </c>
      <c r="F16" s="329">
        <f>KBParameter!E10</f>
        <v>80</v>
      </c>
      <c r="G16" s="329">
        <f>KBParameter!F10</f>
        <v>115</v>
      </c>
      <c r="H16" s="334"/>
      <c r="I16" s="339"/>
    </row>
    <row r="17" spans="2:9" ht="14.1" customHeight="1" x14ac:dyDescent="0.2">
      <c r="B17" s="324">
        <f>KBParameter!A11</f>
        <v>10</v>
      </c>
      <c r="C17" s="329">
        <f>KBParameter!B11</f>
        <v>2700.99</v>
      </c>
      <c r="D17" s="329">
        <f>KBParameter!C11</f>
        <v>510</v>
      </c>
      <c r="E17" s="329">
        <f>KBParameter!D11</f>
        <v>220</v>
      </c>
      <c r="F17" s="329">
        <f>KBParameter!E11</f>
        <v>120</v>
      </c>
      <c r="G17" s="329">
        <f>KBParameter!F11</f>
        <v>130</v>
      </c>
      <c r="H17" s="334"/>
      <c r="I17" s="339"/>
    </row>
    <row r="18" spans="2:9" ht="14.1" customHeight="1" x14ac:dyDescent="0.2">
      <c r="B18" s="324">
        <f>KBParameter!A12</f>
        <v>11</v>
      </c>
      <c r="C18" s="329">
        <f>KBParameter!B12</f>
        <v>3000.99</v>
      </c>
      <c r="D18" s="329">
        <f>KBParameter!C12</f>
        <v>570</v>
      </c>
      <c r="E18" s="329">
        <f>KBParameter!D12</f>
        <v>275</v>
      </c>
      <c r="F18" s="329">
        <f>KBParameter!E12</f>
        <v>165</v>
      </c>
      <c r="G18" s="329">
        <f>KBParameter!F12</f>
        <v>145</v>
      </c>
      <c r="H18" s="334"/>
      <c r="I18" s="339"/>
    </row>
    <row r="19" spans="2:9" ht="14.1" customHeight="1" x14ac:dyDescent="0.2">
      <c r="B19" s="324">
        <f>KBParameter!A13</f>
        <v>12</v>
      </c>
      <c r="C19" s="329">
        <f>KBParameter!B13</f>
        <v>3300.99</v>
      </c>
      <c r="D19" s="329">
        <f>KBParameter!C13</f>
        <v>630</v>
      </c>
      <c r="E19" s="329">
        <f>KBParameter!D13</f>
        <v>335</v>
      </c>
      <c r="F19" s="329">
        <f>KBParameter!E13</f>
        <v>210</v>
      </c>
      <c r="G19" s="329">
        <f>KBParameter!F13</f>
        <v>160</v>
      </c>
      <c r="H19" s="334"/>
      <c r="I19" s="339"/>
    </row>
    <row r="20" spans="2:9" ht="14.1" customHeight="1" x14ac:dyDescent="0.2">
      <c r="B20" s="324">
        <f>KBParameter!A14</f>
        <v>13</v>
      </c>
      <c r="C20" s="329">
        <f>KBParameter!B14</f>
        <v>3600.99</v>
      </c>
      <c r="D20" s="329">
        <f>KBParameter!C14</f>
        <v>725</v>
      </c>
      <c r="E20" s="329">
        <f>KBParameter!D14</f>
        <v>410</v>
      </c>
      <c r="F20" s="329">
        <f>KBParameter!E14</f>
        <v>260</v>
      </c>
      <c r="G20" s="329">
        <f>KBParameter!F14</f>
        <v>175</v>
      </c>
      <c r="H20" s="334"/>
      <c r="I20" s="339"/>
    </row>
    <row r="21" spans="2:9" ht="14.1" customHeight="1" x14ac:dyDescent="0.2">
      <c r="B21" s="324">
        <f>KBParameter!A15</f>
        <v>14</v>
      </c>
      <c r="C21" s="329">
        <f>KBParameter!B15</f>
        <v>3900.99</v>
      </c>
      <c r="D21" s="329">
        <f>KBParameter!C15</f>
        <v>825</v>
      </c>
      <c r="E21" s="329">
        <f>KBParameter!D15</f>
        <v>485</v>
      </c>
      <c r="F21" s="329">
        <f>KBParameter!E15</f>
        <v>320</v>
      </c>
      <c r="G21" s="329">
        <f>KBParameter!F15</f>
        <v>190</v>
      </c>
      <c r="H21" s="334"/>
      <c r="I21" s="339"/>
    </row>
    <row r="22" spans="2:9" ht="14.1" customHeight="1" x14ac:dyDescent="0.2">
      <c r="B22" s="324">
        <f>KBParameter!A16</f>
        <v>15</v>
      </c>
      <c r="C22" s="329">
        <f>KBParameter!B16</f>
        <v>4200.99</v>
      </c>
      <c r="D22" s="329">
        <f>KBParameter!C16</f>
        <v>932</v>
      </c>
      <c r="E22" s="329">
        <f>KBParameter!D16</f>
        <v>560</v>
      </c>
      <c r="F22" s="329">
        <f>KBParameter!E16</f>
        <v>380</v>
      </c>
      <c r="G22" s="329">
        <f>KBParameter!F16</f>
        <v>205</v>
      </c>
      <c r="H22" s="334"/>
      <c r="I22" s="339"/>
    </row>
    <row r="23" spans="2:9" ht="14.1" customHeight="1" x14ac:dyDescent="0.2">
      <c r="B23" s="324">
        <f>KBParameter!A17</f>
        <v>16</v>
      </c>
      <c r="C23" s="329">
        <f>KBParameter!B17</f>
        <v>4600.99</v>
      </c>
      <c r="D23" s="329">
        <f>KBParameter!C17</f>
        <v>1056</v>
      </c>
      <c r="E23" s="329">
        <f>KBParameter!D17</f>
        <v>635</v>
      </c>
      <c r="F23" s="329">
        <f>KBParameter!E17</f>
        <v>440</v>
      </c>
      <c r="G23" s="329">
        <f>KBParameter!F17</f>
        <v>220</v>
      </c>
      <c r="H23" s="334"/>
      <c r="I23" s="339"/>
    </row>
    <row r="24" spans="2:9" ht="14.1" customHeight="1" x14ac:dyDescent="0.2">
      <c r="B24" s="324">
        <f>KBParameter!A18</f>
        <v>17</v>
      </c>
      <c r="C24" s="329">
        <f>KBParameter!B18</f>
        <v>5000.99</v>
      </c>
      <c r="D24" s="329">
        <f>KBParameter!C18</f>
        <v>1152</v>
      </c>
      <c r="E24" s="329">
        <f>KBParameter!D18</f>
        <v>715</v>
      </c>
      <c r="F24" s="329">
        <f>KBParameter!E18</f>
        <v>500</v>
      </c>
      <c r="G24" s="329">
        <f>KBParameter!F18</f>
        <v>240</v>
      </c>
      <c r="H24" s="334"/>
      <c r="I24" s="339"/>
    </row>
    <row r="25" spans="2:9" ht="14.1" customHeight="1" x14ac:dyDescent="0.2">
      <c r="B25" s="324">
        <f>KBParameter!A19</f>
        <v>18</v>
      </c>
      <c r="C25" s="329">
        <f>KBParameter!B19</f>
        <v>5500.99</v>
      </c>
      <c r="D25" s="329">
        <f>KBParameter!C19</f>
        <v>1313</v>
      </c>
      <c r="E25" s="329">
        <f>KBParameter!D19</f>
        <v>790</v>
      </c>
      <c r="F25" s="329">
        <f>KBParameter!E19</f>
        <v>555</v>
      </c>
      <c r="G25" s="329">
        <f>KBParameter!F19</f>
        <v>265</v>
      </c>
      <c r="H25" s="334"/>
      <c r="I25" s="339"/>
    </row>
    <row r="26" spans="2:9" ht="14.1" customHeight="1" x14ac:dyDescent="0.2">
      <c r="B26" s="324">
        <f>KBParameter!A20</f>
        <v>19</v>
      </c>
      <c r="C26" s="329">
        <f>KBParameter!B20</f>
        <v>6000.99</v>
      </c>
      <c r="D26" s="329">
        <f>KBParameter!C20</f>
        <v>1438</v>
      </c>
      <c r="E26" s="329">
        <f>KBParameter!D20</f>
        <v>865</v>
      </c>
      <c r="F26" s="329">
        <f>KBParameter!E20</f>
        <v>605</v>
      </c>
      <c r="G26" s="329">
        <f>KBParameter!F20</f>
        <v>290</v>
      </c>
      <c r="H26" s="334"/>
      <c r="I26" s="339"/>
    </row>
    <row r="27" spans="2:9" ht="14.1" customHeight="1" x14ac:dyDescent="0.2">
      <c r="B27" s="324">
        <f>KBParameter!A21</f>
        <v>20</v>
      </c>
      <c r="C27" s="329">
        <f>KBParameter!B21</f>
        <v>6500.99</v>
      </c>
      <c r="D27" s="329">
        <f>KBParameter!C21</f>
        <v>1563</v>
      </c>
      <c r="E27" s="329">
        <f>KBParameter!D21</f>
        <v>940</v>
      </c>
      <c r="F27" s="329">
        <f>KBParameter!E21</f>
        <v>658</v>
      </c>
      <c r="G27" s="329">
        <f>KBParameter!F21</f>
        <v>315</v>
      </c>
      <c r="H27" s="334"/>
      <c r="I27" s="339"/>
    </row>
    <row r="28" spans="2:9" ht="14.1" customHeight="1" x14ac:dyDescent="0.2">
      <c r="B28" s="324">
        <f>KBParameter!A22</f>
        <v>21</v>
      </c>
      <c r="C28" s="329">
        <f>KBParameter!B22</f>
        <v>7000.99</v>
      </c>
      <c r="D28" s="329">
        <f>KBParameter!C22</f>
        <v>1688</v>
      </c>
      <c r="E28" s="329">
        <f>KBParameter!D22</f>
        <v>1015</v>
      </c>
      <c r="F28" s="329">
        <f>KBParameter!E22</f>
        <v>710</v>
      </c>
      <c r="G28" s="329">
        <f>KBParameter!F22</f>
        <v>340</v>
      </c>
      <c r="H28" s="334"/>
      <c r="I28" s="339"/>
    </row>
    <row r="29" spans="2:9" ht="14.1" customHeight="1" x14ac:dyDescent="0.2">
      <c r="B29" s="324">
        <f>KBParameter!A23</f>
        <v>22</v>
      </c>
      <c r="C29" s="329">
        <f>KBParameter!B23</f>
        <v>7500.99</v>
      </c>
      <c r="D29" s="329">
        <f>KBParameter!C23</f>
        <v>1813</v>
      </c>
      <c r="E29" s="329">
        <f>KBParameter!D23</f>
        <v>1090</v>
      </c>
      <c r="F29" s="329">
        <f>KBParameter!E23</f>
        <v>763</v>
      </c>
      <c r="G29" s="329">
        <f>KBParameter!F23</f>
        <v>365</v>
      </c>
      <c r="H29" s="334"/>
      <c r="I29" s="339"/>
    </row>
    <row r="30" spans="2:9" ht="14.1" customHeight="1" x14ac:dyDescent="0.2">
      <c r="B30" s="324">
        <f>KBParameter!A24</f>
        <v>23</v>
      </c>
      <c r="C30" s="329">
        <f>KBParameter!B24</f>
        <v>8000.99</v>
      </c>
      <c r="D30" s="329">
        <f>KBParameter!C24</f>
        <v>1938</v>
      </c>
      <c r="E30" s="329">
        <f>KBParameter!D24</f>
        <v>1165</v>
      </c>
      <c r="F30" s="329">
        <f>KBParameter!E24</f>
        <v>815</v>
      </c>
      <c r="G30" s="329">
        <f>KBParameter!F24</f>
        <v>390</v>
      </c>
      <c r="H30" s="334"/>
      <c r="I30" s="339"/>
    </row>
    <row r="31" spans="2:9" ht="14.1" customHeight="1" x14ac:dyDescent="0.2">
      <c r="B31" s="324">
        <f>KBParameter!A25</f>
        <v>24</v>
      </c>
      <c r="C31" s="329">
        <f>KBParameter!B25</f>
        <v>8500.99</v>
      </c>
      <c r="D31" s="329">
        <f>KBParameter!C25</f>
        <v>2063</v>
      </c>
      <c r="E31" s="329">
        <f>KBParameter!D25</f>
        <v>1240</v>
      </c>
      <c r="F31" s="329">
        <f>KBParameter!E25</f>
        <v>868</v>
      </c>
      <c r="G31" s="329">
        <f>KBParameter!F25</f>
        <v>415</v>
      </c>
      <c r="H31" s="334"/>
      <c r="I31" s="339"/>
    </row>
    <row r="32" spans="2:9" ht="14.1" customHeight="1" x14ac:dyDescent="0.2">
      <c r="B32" s="324">
        <f>KBParameter!A26</f>
        <v>25</v>
      </c>
      <c r="C32" s="329">
        <f>KBParameter!B26</f>
        <v>9000.99</v>
      </c>
      <c r="D32" s="329">
        <f>KBParameter!C26</f>
        <v>2188</v>
      </c>
      <c r="E32" s="329">
        <f>KBParameter!D26</f>
        <v>1315</v>
      </c>
      <c r="F32" s="329">
        <f>KBParameter!E26</f>
        <v>920</v>
      </c>
      <c r="G32" s="329">
        <f>KBParameter!F26</f>
        <v>440</v>
      </c>
      <c r="H32" s="334"/>
      <c r="I32" s="339"/>
    </row>
    <row r="33" spans="1:9" ht="14.1" customHeight="1" x14ac:dyDescent="0.2">
      <c r="B33" s="324">
        <f>KBParameter!A27</f>
        <v>26</v>
      </c>
      <c r="C33" s="329">
        <f>KBParameter!B27</f>
        <v>9500.99</v>
      </c>
      <c r="D33" s="329">
        <f>KBParameter!C27</f>
        <v>2313</v>
      </c>
      <c r="E33" s="329">
        <f>KBParameter!D27</f>
        <v>1390</v>
      </c>
      <c r="F33" s="329">
        <f>KBParameter!E27</f>
        <v>973</v>
      </c>
      <c r="G33" s="329">
        <f>KBParameter!F27</f>
        <v>465</v>
      </c>
      <c r="H33" s="334"/>
      <c r="I33" s="339"/>
    </row>
    <row r="34" spans="1:9" ht="14.1" customHeight="1" x14ac:dyDescent="0.2">
      <c r="B34" s="324">
        <f>KBParameter!A28</f>
        <v>27</v>
      </c>
      <c r="C34" s="329">
        <f>KBParameter!B28</f>
        <v>10000.99</v>
      </c>
      <c r="D34" s="329">
        <f>KBParameter!C28</f>
        <v>2438</v>
      </c>
      <c r="E34" s="329">
        <f>KBParameter!D28</f>
        <v>1465</v>
      </c>
      <c r="F34" s="329">
        <f>KBParameter!E28</f>
        <v>1025</v>
      </c>
      <c r="G34" s="329">
        <f>KBParameter!F28</f>
        <v>490</v>
      </c>
      <c r="H34" s="334"/>
      <c r="I34" s="339"/>
    </row>
    <row r="35" spans="1:9" ht="14.1" customHeight="1" x14ac:dyDescent="0.2">
      <c r="B35" s="324">
        <v>28</v>
      </c>
      <c r="C35" s="325" t="s">
        <v>51</v>
      </c>
      <c r="D35" s="325" t="s">
        <v>340</v>
      </c>
      <c r="E35" s="325" t="s">
        <v>341</v>
      </c>
      <c r="F35" s="325" t="s">
        <v>342</v>
      </c>
      <c r="G35" s="325" t="s">
        <v>343</v>
      </c>
      <c r="H35" s="334"/>
      <c r="I35" s="339"/>
    </row>
    <row r="36" spans="1:9" s="326" customFormat="1" ht="3.95" customHeight="1" x14ac:dyDescent="0.2">
      <c r="B36" s="327"/>
      <c r="C36" s="327"/>
      <c r="H36" s="335"/>
      <c r="I36" s="339"/>
    </row>
    <row r="37" spans="1:9" s="332" customFormat="1" ht="15.95" customHeight="1" x14ac:dyDescent="0.2">
      <c r="B37" s="330" t="s">
        <v>52</v>
      </c>
      <c r="C37" s="331"/>
      <c r="H37" s="336"/>
      <c r="I37" s="339"/>
    </row>
    <row r="38" spans="1:9" s="332" customFormat="1" ht="3.95" customHeight="1" x14ac:dyDescent="0.2">
      <c r="B38" s="331"/>
      <c r="C38" s="331"/>
      <c r="H38" s="336"/>
      <c r="I38" s="339"/>
    </row>
    <row r="39" spans="1:9" s="333" customFormat="1" ht="291" customHeight="1" x14ac:dyDescent="0.2">
      <c r="A39" s="313"/>
      <c r="B39" s="573" t="s">
        <v>393</v>
      </c>
      <c r="C39" s="573"/>
      <c r="D39" s="573"/>
      <c r="E39" s="573"/>
      <c r="F39" s="573"/>
      <c r="G39" s="573"/>
      <c r="H39" s="337"/>
      <c r="I39" s="339"/>
    </row>
  </sheetData>
  <sheetProtection sheet="1" objects="1" scenarios="1"/>
  <mergeCells count="1">
    <mergeCell ref="B39:G39"/>
  </mergeCells>
  <phoneticPr fontId="2" type="noConversion"/>
  <hyperlinks>
    <hyperlink ref="E1" r:id="rId1" tooltip="www.kostenbeitrag.de - Infos für Jugendämter in Hessen" xr:uid="{00000000-0004-0000-0300-000000000000}"/>
  </hyperlinks>
  <pageMargins left="0.78740157480314965" right="0.39370078740157483" top="0.59055118110236227" bottom="0.59055118110236227" header="0.39370078740157483" footer="0.39370078740157483"/>
  <pageSetup paperSize="9" scale="90" orientation="portrait" blackAndWhite="1" r:id="rId2"/>
  <headerFooter alignWithMargins="0">
    <oddFooter>&amp;R&amp;8&amp;F
&amp;A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3"/>
  </sheetPr>
  <dimension ref="A1:I29"/>
  <sheetViews>
    <sheetView showGridLines="0" showRowColHeaders="0" workbookViewId="0">
      <pane ySplit="3" topLeftCell="A4" activePane="bottomLeft" state="frozenSplit"/>
      <selection activeCell="K9" sqref="K9:W9"/>
      <selection pane="bottomLeft" activeCell="A4" sqref="A4"/>
    </sheetView>
  </sheetViews>
  <sheetFormatPr baseColWidth="10" defaultRowHeight="12.75" x14ac:dyDescent="0.2"/>
  <cols>
    <col min="1" max="1" width="4.7109375" style="322" customWidth="1"/>
    <col min="2" max="2" width="13.140625" style="323" customWidth="1"/>
    <col min="3" max="3" width="20.7109375" style="323" customWidth="1"/>
    <col min="4" max="7" width="14.5703125" style="322" customWidth="1"/>
    <col min="8" max="8" width="4.7109375" style="322" customWidth="1"/>
    <col min="9" max="9" width="65.28515625" style="340" customWidth="1"/>
    <col min="10" max="16384" width="11.42578125" style="322"/>
  </cols>
  <sheetData>
    <row r="1" spans="1:9" ht="21.75" customHeight="1" x14ac:dyDescent="0.2">
      <c r="A1" s="320"/>
      <c r="B1" s="50" t="s">
        <v>131</v>
      </c>
      <c r="C1" s="321"/>
      <c r="D1" s="320"/>
      <c r="E1" s="311" t="s">
        <v>132</v>
      </c>
      <c r="F1" s="318" t="s">
        <v>133</v>
      </c>
      <c r="G1" s="319">
        <f>Hauptberechnung!V1</f>
        <v>43159</v>
      </c>
      <c r="H1" s="311"/>
      <c r="I1" s="338" t="s">
        <v>206</v>
      </c>
    </row>
    <row r="2" spans="1:9" ht="12" customHeight="1" x14ac:dyDescent="0.2">
      <c r="B2" s="159" t="str">
        <f>"Anlage zur Kostenbeitragsberechnung "&amp;NameJM&amp;" / "&amp;NamePflichtiger&amp;" für die Zeit ab "&amp;(DAY(KBZeitraumVon)&amp;"."&amp;MONTH(KBZeitraumVon)&amp;"."&amp;YEAR(KBZeitraumVon))</f>
        <v>Anlage zur Kostenbeitragsberechnung Name JM / Name Pflichtige/r für die Zeit ab 0.1.1900</v>
      </c>
      <c r="H2" s="334"/>
      <c r="I2" s="339"/>
    </row>
    <row r="3" spans="1:9" ht="32.1" customHeight="1" x14ac:dyDescent="0.2">
      <c r="H3" s="334"/>
      <c r="I3" s="339" t="s">
        <v>53</v>
      </c>
    </row>
    <row r="4" spans="1:9" ht="22.5" customHeight="1" x14ac:dyDescent="0.2">
      <c r="B4" s="58" t="s">
        <v>54</v>
      </c>
      <c r="H4" s="334"/>
      <c r="I4" s="213"/>
    </row>
    <row r="5" spans="1:9" ht="14.25" x14ac:dyDescent="0.2">
      <c r="B5" s="61"/>
      <c r="H5" s="334"/>
      <c r="I5" s="213"/>
    </row>
    <row r="6" spans="1:9" ht="8.1" customHeight="1" x14ac:dyDescent="0.2">
      <c r="H6" s="334"/>
      <c r="I6" s="339"/>
    </row>
    <row r="7" spans="1:9" ht="56.25" customHeight="1" x14ac:dyDescent="0.2">
      <c r="B7" s="328" t="s">
        <v>344</v>
      </c>
      <c r="C7" s="328" t="s">
        <v>55</v>
      </c>
      <c r="D7" s="328" t="s">
        <v>56</v>
      </c>
      <c r="E7" s="328" t="s">
        <v>57</v>
      </c>
      <c r="F7" s="328" t="s">
        <v>59</v>
      </c>
      <c r="G7" s="328" t="s">
        <v>58</v>
      </c>
      <c r="H7" s="334"/>
      <c r="I7" s="339"/>
    </row>
    <row r="8" spans="1:9" ht="15.95" customHeight="1" x14ac:dyDescent="0.2">
      <c r="B8" s="324">
        <f>DTParameter!A2</f>
        <v>1</v>
      </c>
      <c r="C8" s="329">
        <f>DTParameter!B2</f>
        <v>1500</v>
      </c>
      <c r="D8" s="329">
        <f>DTParameter!C2</f>
        <v>335</v>
      </c>
      <c r="E8" s="329">
        <f>DTParameter!D2</f>
        <v>384</v>
      </c>
      <c r="F8" s="329">
        <f>DTParameter!E2</f>
        <v>450</v>
      </c>
      <c r="G8" s="329">
        <f>DTParameter!F2</f>
        <v>516</v>
      </c>
      <c r="H8" s="334"/>
      <c r="I8" s="339"/>
    </row>
    <row r="9" spans="1:9" ht="15.95" customHeight="1" x14ac:dyDescent="0.2">
      <c r="B9" s="324">
        <f>DTParameter!A3</f>
        <v>2</v>
      </c>
      <c r="C9" s="329">
        <f>DTParameter!B3</f>
        <v>1900</v>
      </c>
      <c r="D9" s="329">
        <f>DTParameter!C3</f>
        <v>352</v>
      </c>
      <c r="E9" s="329">
        <f>DTParameter!D3</f>
        <v>404</v>
      </c>
      <c r="F9" s="329">
        <f>DTParameter!E3</f>
        <v>473</v>
      </c>
      <c r="G9" s="329">
        <f>DTParameter!F3</f>
        <v>542</v>
      </c>
      <c r="H9" s="334"/>
      <c r="I9" s="339"/>
    </row>
    <row r="10" spans="1:9" ht="15.95" customHeight="1" x14ac:dyDescent="0.2">
      <c r="B10" s="324">
        <f>DTParameter!A4</f>
        <v>3</v>
      </c>
      <c r="C10" s="329">
        <f>DTParameter!B4</f>
        <v>2300</v>
      </c>
      <c r="D10" s="329">
        <f>DTParameter!C4</f>
        <v>369</v>
      </c>
      <c r="E10" s="329">
        <f>DTParameter!D4</f>
        <v>423</v>
      </c>
      <c r="F10" s="329">
        <f>DTParameter!E4</f>
        <v>495</v>
      </c>
      <c r="G10" s="329">
        <f>DTParameter!F4</f>
        <v>568</v>
      </c>
      <c r="H10" s="334"/>
      <c r="I10" s="339"/>
    </row>
    <row r="11" spans="1:9" ht="15.95" customHeight="1" x14ac:dyDescent="0.2">
      <c r="B11" s="324">
        <f>DTParameter!A5</f>
        <v>4</v>
      </c>
      <c r="C11" s="329">
        <f>DTParameter!B5</f>
        <v>2700</v>
      </c>
      <c r="D11" s="329">
        <f>DTParameter!C5</f>
        <v>386</v>
      </c>
      <c r="E11" s="329">
        <f>DTParameter!D5</f>
        <v>442</v>
      </c>
      <c r="F11" s="329">
        <f>DTParameter!E5</f>
        <v>518</v>
      </c>
      <c r="G11" s="329">
        <f>DTParameter!F5</f>
        <v>594</v>
      </c>
      <c r="H11" s="334"/>
      <c r="I11" s="339"/>
    </row>
    <row r="12" spans="1:9" ht="15.95" customHeight="1" x14ac:dyDescent="0.2">
      <c r="B12" s="324">
        <f>DTParameter!A6</f>
        <v>5</v>
      </c>
      <c r="C12" s="329">
        <f>DTParameter!B6</f>
        <v>3100</v>
      </c>
      <c r="D12" s="329">
        <f>DTParameter!C6</f>
        <v>402</v>
      </c>
      <c r="E12" s="329">
        <f>DTParameter!D6</f>
        <v>461</v>
      </c>
      <c r="F12" s="329">
        <f>DTParameter!E6</f>
        <v>540</v>
      </c>
      <c r="G12" s="329">
        <f>DTParameter!F6</f>
        <v>620</v>
      </c>
      <c r="H12" s="334"/>
      <c r="I12" s="339"/>
    </row>
    <row r="13" spans="1:9" ht="15.95" customHeight="1" x14ac:dyDescent="0.2">
      <c r="B13" s="324">
        <f>DTParameter!A7</f>
        <v>6</v>
      </c>
      <c r="C13" s="329">
        <f>DTParameter!B7</f>
        <v>3500</v>
      </c>
      <c r="D13" s="329">
        <f>DTParameter!C7</f>
        <v>429</v>
      </c>
      <c r="E13" s="329">
        <f>DTParameter!D7</f>
        <v>492</v>
      </c>
      <c r="F13" s="329">
        <f>DTParameter!E7</f>
        <v>576</v>
      </c>
      <c r="G13" s="329">
        <f>DTParameter!F7</f>
        <v>661</v>
      </c>
      <c r="H13" s="334"/>
      <c r="I13" s="339"/>
    </row>
    <row r="14" spans="1:9" ht="15.95" customHeight="1" x14ac:dyDescent="0.2">
      <c r="B14" s="324">
        <f>DTParameter!A8</f>
        <v>7</v>
      </c>
      <c r="C14" s="329">
        <f>DTParameter!B8</f>
        <v>3900</v>
      </c>
      <c r="D14" s="329">
        <f>DTParameter!C8</f>
        <v>456</v>
      </c>
      <c r="E14" s="329">
        <f>DTParameter!D8</f>
        <v>523</v>
      </c>
      <c r="F14" s="329">
        <f>DTParameter!E8</f>
        <v>612</v>
      </c>
      <c r="G14" s="329">
        <f>DTParameter!F8</f>
        <v>702</v>
      </c>
      <c r="H14" s="334"/>
      <c r="I14" s="339"/>
    </row>
    <row r="15" spans="1:9" ht="15.95" customHeight="1" x14ac:dyDescent="0.2">
      <c r="B15" s="324">
        <f>DTParameter!A9</f>
        <v>8</v>
      </c>
      <c r="C15" s="329">
        <f>DTParameter!B9</f>
        <v>4300</v>
      </c>
      <c r="D15" s="329">
        <f>DTParameter!C9</f>
        <v>483</v>
      </c>
      <c r="E15" s="329">
        <f>DTParameter!D9</f>
        <v>553</v>
      </c>
      <c r="F15" s="329">
        <f>DTParameter!E9</f>
        <v>648</v>
      </c>
      <c r="G15" s="329">
        <f>DTParameter!F9</f>
        <v>744</v>
      </c>
      <c r="H15" s="334"/>
      <c r="I15" s="339"/>
    </row>
    <row r="16" spans="1:9" ht="15.95" customHeight="1" x14ac:dyDescent="0.2">
      <c r="B16" s="324">
        <f>DTParameter!A10</f>
        <v>9</v>
      </c>
      <c r="C16" s="329">
        <f>DTParameter!B10</f>
        <v>4700</v>
      </c>
      <c r="D16" s="329">
        <f>DTParameter!C10</f>
        <v>510</v>
      </c>
      <c r="E16" s="329">
        <f>DTParameter!D10</f>
        <v>584</v>
      </c>
      <c r="F16" s="329">
        <f>DTParameter!E10</f>
        <v>684</v>
      </c>
      <c r="G16" s="329">
        <f>DTParameter!F10</f>
        <v>785</v>
      </c>
      <c r="H16" s="334"/>
      <c r="I16" s="339"/>
    </row>
    <row r="17" spans="2:9" ht="15.95" customHeight="1" x14ac:dyDescent="0.2">
      <c r="B17" s="324">
        <f>DTParameter!A11</f>
        <v>10</v>
      </c>
      <c r="C17" s="329">
        <f>DTParameter!B11</f>
        <v>5100</v>
      </c>
      <c r="D17" s="329">
        <f>DTParameter!C11</f>
        <v>536</v>
      </c>
      <c r="E17" s="329">
        <f>DTParameter!D11</f>
        <v>615</v>
      </c>
      <c r="F17" s="329">
        <f>DTParameter!E11</f>
        <v>720</v>
      </c>
      <c r="G17" s="329">
        <f>DTParameter!F11</f>
        <v>826</v>
      </c>
      <c r="H17" s="334"/>
      <c r="I17" s="339"/>
    </row>
    <row r="18" spans="2:9" ht="15.95" customHeight="1" x14ac:dyDescent="0.2">
      <c r="B18" s="324">
        <f>DTParameter!A12</f>
        <v>11</v>
      </c>
      <c r="C18" s="329" t="str">
        <f>"über " &amp;C17 &amp;" €"</f>
        <v>über 5100 €</v>
      </c>
      <c r="D18" s="574" t="s">
        <v>347</v>
      </c>
      <c r="E18" s="575"/>
      <c r="F18" s="575"/>
      <c r="G18" s="576"/>
      <c r="H18" s="334"/>
      <c r="I18" s="339"/>
    </row>
    <row r="19" spans="2:9" s="326" customFormat="1" ht="15.95" customHeight="1" x14ac:dyDescent="0.2">
      <c r="B19" s="327"/>
      <c r="C19" s="327"/>
      <c r="H19" s="335"/>
      <c r="I19" s="339"/>
    </row>
    <row r="20" spans="2:9" s="332" customFormat="1" ht="15.95" customHeight="1" x14ac:dyDescent="0.2">
      <c r="B20" s="341" t="s">
        <v>345</v>
      </c>
      <c r="C20" s="331"/>
      <c r="H20" s="336"/>
      <c r="I20" s="339"/>
    </row>
    <row r="21" spans="2:9" s="332" customFormat="1" ht="15.95" customHeight="1" x14ac:dyDescent="0.2">
      <c r="B21" s="342"/>
      <c r="C21" s="331"/>
      <c r="H21" s="336"/>
      <c r="I21" s="339"/>
    </row>
    <row r="22" spans="2:9" ht="15.95" customHeight="1" x14ac:dyDescent="0.2">
      <c r="B22" s="343" t="s">
        <v>348</v>
      </c>
      <c r="H22" s="334"/>
      <c r="I22" s="339"/>
    </row>
    <row r="23" spans="2:9" ht="15.95" customHeight="1" x14ac:dyDescent="0.2">
      <c r="B23" s="343" t="s">
        <v>349</v>
      </c>
      <c r="H23" s="334"/>
      <c r="I23" s="339"/>
    </row>
    <row r="24" spans="2:9" ht="15.95" customHeight="1" x14ac:dyDescent="0.2">
      <c r="B24" s="343" t="s">
        <v>350</v>
      </c>
      <c r="H24" s="334"/>
      <c r="I24" s="339"/>
    </row>
    <row r="25" spans="2:9" ht="15.95" customHeight="1" x14ac:dyDescent="0.2">
      <c r="B25" s="343" t="s">
        <v>351</v>
      </c>
      <c r="H25" s="334"/>
      <c r="I25" s="339"/>
    </row>
    <row r="26" spans="2:9" ht="15.95" customHeight="1" x14ac:dyDescent="0.2">
      <c r="B26" s="343"/>
      <c r="H26" s="334"/>
      <c r="I26" s="339"/>
    </row>
    <row r="27" spans="2:9" ht="15.95" customHeight="1" x14ac:dyDescent="0.2">
      <c r="B27" s="343" t="s">
        <v>346</v>
      </c>
      <c r="H27" s="334"/>
      <c r="I27" s="339"/>
    </row>
    <row r="28" spans="2:9" ht="15.95" customHeight="1" x14ac:dyDescent="0.2"/>
    <row r="29" spans="2:9" ht="15.95" customHeight="1" x14ac:dyDescent="0.2"/>
  </sheetData>
  <sheetProtection sheet="1" objects="1" scenarios="1"/>
  <mergeCells count="1">
    <mergeCell ref="D18:G18"/>
  </mergeCells>
  <phoneticPr fontId="2" type="noConversion"/>
  <conditionalFormatting sqref="B22:B27">
    <cfRule type="cellIs" dxfId="1" priority="1" stopIfTrue="1" operator="equal">
      <formula>"Sonstige Einkünfte"</formula>
    </cfRule>
    <cfRule type="cellIs" dxfId="0" priority="2" stopIfTrue="1" operator="notEqual">
      <formula>"Sonstige Einkünfte"</formula>
    </cfRule>
  </conditionalFormatting>
  <hyperlinks>
    <hyperlink ref="E1" r:id="rId1" tooltip="www.kostenbeitrag.de - Infos für Jugendämter in Hessen" xr:uid="{00000000-0004-0000-0400-000000000000}"/>
  </hyperlinks>
  <pageMargins left="0.78740157480314965" right="0.39370078740157483" top="0.59055118110236227" bottom="0.59055118110236227" header="0.39370078740157483" footer="0.39370078740157483"/>
  <pageSetup paperSize="9" scale="90" orientation="portrait" blackAndWhite="1" r:id="rId2"/>
  <headerFooter alignWithMargins="0">
    <oddFooter>&amp;R&amp;8&amp;F
&amp;A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8"/>
    <pageSetUpPr fitToPage="1"/>
  </sheetPr>
  <dimension ref="A1:E140"/>
  <sheetViews>
    <sheetView workbookViewId="0">
      <pane ySplit="1" topLeftCell="A36" activePane="bottomLeft" state="frozenSplit"/>
      <selection activeCell="K9" sqref="K9:M9"/>
      <selection pane="bottomLeft" activeCell="A40" sqref="A40"/>
    </sheetView>
  </sheetViews>
  <sheetFormatPr baseColWidth="10" defaultRowHeight="18" customHeight="1" x14ac:dyDescent="0.2"/>
  <cols>
    <col min="1" max="1" width="8.7109375" style="4" bestFit="1" customWidth="1"/>
    <col min="2" max="2" width="59.42578125" style="1" bestFit="1" customWidth="1"/>
    <col min="3" max="3" width="26.85546875" style="4" bestFit="1" customWidth="1"/>
    <col min="4" max="4" width="15.5703125" style="4" bestFit="1" customWidth="1"/>
    <col min="5" max="5" width="14.42578125" style="4" bestFit="1" customWidth="1"/>
    <col min="6" max="16384" width="11.42578125" style="1"/>
  </cols>
  <sheetData>
    <row r="1" spans="1:5" s="2" customFormat="1" ht="18" customHeight="1" x14ac:dyDescent="0.2">
      <c r="A1" s="3" t="s">
        <v>194</v>
      </c>
      <c r="B1" s="2" t="s">
        <v>120</v>
      </c>
      <c r="C1" s="3" t="s">
        <v>125</v>
      </c>
      <c r="D1" s="3" t="s">
        <v>124</v>
      </c>
      <c r="E1" s="3" t="s">
        <v>123</v>
      </c>
    </row>
    <row r="2" spans="1:5" s="2" customFormat="1" ht="18" customHeight="1" x14ac:dyDescent="0.2">
      <c r="A2" s="13">
        <v>1</v>
      </c>
      <c r="B2" s="2" t="s">
        <v>122</v>
      </c>
      <c r="C2" s="3"/>
      <c r="D2" s="3"/>
      <c r="E2" s="3"/>
    </row>
    <row r="3" spans="1:5" ht="18" customHeight="1" x14ac:dyDescent="0.2">
      <c r="A3" s="4">
        <v>1</v>
      </c>
      <c r="B3" s="1" t="s">
        <v>121</v>
      </c>
      <c r="C3" s="4" t="s">
        <v>137</v>
      </c>
      <c r="D3" s="6" t="s">
        <v>137</v>
      </c>
      <c r="E3" s="6" t="s">
        <v>137</v>
      </c>
    </row>
    <row r="4" spans="1:5" ht="18" customHeight="1" x14ac:dyDescent="0.2">
      <c r="A4" s="4">
        <v>2</v>
      </c>
      <c r="B4" s="1" t="s">
        <v>136</v>
      </c>
      <c r="C4" s="4" t="str">
        <f>IF(KBZeitraumVon&lt;&gt;"","im Kalenderjahr "&amp;YEAR(KBZeitraumVon)-1,"")</f>
        <v/>
      </c>
      <c r="D4" s="6" t="str">
        <f>IF(KBZeitraumVon&lt;&gt;"",DATE(YEAR(KBZeitraumVon)-1,1,1),"")</f>
        <v/>
      </c>
      <c r="E4" s="6" t="str">
        <f>IF(KBZeitraumVon&lt;&gt;"",DATE(YEAR(KBZeitraumVon)-1,12,31),"")</f>
        <v/>
      </c>
    </row>
    <row r="5" spans="1:5" ht="18" customHeight="1" x14ac:dyDescent="0.2">
      <c r="A5" s="4">
        <v>3</v>
      </c>
      <c r="B5" s="382" t="s">
        <v>371</v>
      </c>
      <c r="C5" s="4" t="str">
        <f>IF(KBZeitraumVon&lt;&gt;"","im Leistungsjahr " &amp; YEAR(KBZeitraumVon),"")</f>
        <v/>
      </c>
      <c r="D5" s="6" t="str">
        <f>IF(KBZeitraumVon&lt;&gt;"",DATE(YEAR(KBZeitraumVon),1,1),"")</f>
        <v/>
      </c>
      <c r="E5" s="6" t="str">
        <f>IF(KBZeitraumVon&lt;&gt;"",DATE(YEAR(KBZeitraumVon),12,31),"")</f>
        <v/>
      </c>
    </row>
    <row r="6" spans="1:5" ht="18" customHeight="1" x14ac:dyDescent="0.2">
      <c r="A6" s="4">
        <v>4</v>
      </c>
      <c r="B6" s="382" t="s">
        <v>372</v>
      </c>
      <c r="C6" s="4" t="str">
        <f>"bei Vorliegen von Härtefallgründen"</f>
        <v>bei Vorliegen von Härtefallgründen</v>
      </c>
      <c r="D6" s="4" t="s">
        <v>126</v>
      </c>
      <c r="E6" s="4" t="s">
        <v>126</v>
      </c>
    </row>
    <row r="9" spans="1:5" ht="18" customHeight="1" x14ac:dyDescent="0.2">
      <c r="A9" s="14">
        <v>1</v>
      </c>
      <c r="B9" s="15" t="s">
        <v>165</v>
      </c>
      <c r="C9" s="16"/>
    </row>
    <row r="10" spans="1:5" ht="18" customHeight="1" x14ac:dyDescent="0.2">
      <c r="A10" s="17">
        <v>1</v>
      </c>
      <c r="B10" s="18" t="s">
        <v>121</v>
      </c>
      <c r="C10" s="19" t="s">
        <v>207</v>
      </c>
    </row>
    <row r="11" spans="1:5" ht="18" customHeight="1" x14ac:dyDescent="0.2">
      <c r="A11" s="17">
        <v>2</v>
      </c>
      <c r="B11" s="18" t="s">
        <v>166</v>
      </c>
      <c r="C11" s="19">
        <v>0</v>
      </c>
    </row>
    <row r="12" spans="1:5" ht="18" customHeight="1" x14ac:dyDescent="0.2">
      <c r="A12" s="17">
        <v>3</v>
      </c>
      <c r="B12" s="18" t="s">
        <v>167</v>
      </c>
      <c r="C12" s="19">
        <v>0</v>
      </c>
    </row>
    <row r="13" spans="1:5" ht="18" customHeight="1" x14ac:dyDescent="0.2">
      <c r="A13" s="17">
        <v>4</v>
      </c>
      <c r="B13" s="18" t="str">
        <f>"ist mit 1/12 von "&amp;Hauptberechnung!U46&amp;" € zu berücksichtigen"</f>
        <v>ist mit 1/12 von 0 € zu berücksichtigen</v>
      </c>
      <c r="C13" s="19">
        <f>1/12*Hauptberechnung!U46</f>
        <v>0</v>
      </c>
    </row>
    <row r="14" spans="1:5" ht="18" customHeight="1" x14ac:dyDescent="0.2">
      <c r="A14" s="17">
        <v>5</v>
      </c>
      <c r="B14" s="18" t="s">
        <v>192</v>
      </c>
      <c r="C14" s="19">
        <v>0</v>
      </c>
    </row>
    <row r="17" spans="1:5" ht="18" customHeight="1" x14ac:dyDescent="0.2">
      <c r="A17" s="14">
        <v>1</v>
      </c>
      <c r="B17" s="15" t="s">
        <v>168</v>
      </c>
      <c r="C17" s="16"/>
    </row>
    <row r="18" spans="1:5" ht="18" customHeight="1" x14ac:dyDescent="0.2">
      <c r="A18" s="17">
        <v>1</v>
      </c>
      <c r="B18" s="18" t="s">
        <v>121</v>
      </c>
      <c r="C18" s="19" t="s">
        <v>207</v>
      </c>
    </row>
    <row r="19" spans="1:5" ht="18" customHeight="1" x14ac:dyDescent="0.2">
      <c r="A19" s="17">
        <v>2</v>
      </c>
      <c r="B19" s="18" t="s">
        <v>166</v>
      </c>
      <c r="C19" s="19">
        <v>0</v>
      </c>
    </row>
    <row r="20" spans="1:5" ht="18" customHeight="1" x14ac:dyDescent="0.2">
      <c r="A20" s="17">
        <v>3</v>
      </c>
      <c r="B20" s="18" t="s">
        <v>167</v>
      </c>
      <c r="C20" s="19">
        <v>0</v>
      </c>
    </row>
    <row r="21" spans="1:5" ht="18" customHeight="1" x14ac:dyDescent="0.2">
      <c r="A21" s="17">
        <v>4</v>
      </c>
      <c r="B21" s="18" t="str">
        <f>"ist mit 1/40 von " &amp;Hauptberechnung!U46 &amp; " € zu berücksichtigen"</f>
        <v>ist mit 1/40 von 0 € zu berücksichtigen</v>
      </c>
      <c r="C21" s="19">
        <f>1/40*Hauptberechnung!U46</f>
        <v>0</v>
      </c>
    </row>
    <row r="22" spans="1:5" ht="18" customHeight="1" x14ac:dyDescent="0.2">
      <c r="A22" s="17">
        <v>5</v>
      </c>
      <c r="B22" s="18" t="s">
        <v>192</v>
      </c>
      <c r="C22" s="19">
        <v>0</v>
      </c>
    </row>
    <row r="25" spans="1:5" ht="18" customHeight="1" x14ac:dyDescent="0.2">
      <c r="A25" s="14">
        <v>1</v>
      </c>
      <c r="B25" s="15" t="s">
        <v>107</v>
      </c>
      <c r="C25" s="16"/>
    </row>
    <row r="26" spans="1:5" ht="18" customHeight="1" x14ac:dyDescent="0.2">
      <c r="A26" s="17">
        <v>1</v>
      </c>
      <c r="B26" s="18" t="s">
        <v>121</v>
      </c>
      <c r="C26" s="19" t="s">
        <v>196</v>
      </c>
      <c r="D26" s="5" t="s">
        <v>137</v>
      </c>
    </row>
    <row r="27" spans="1:5" ht="18" customHeight="1" x14ac:dyDescent="0.2">
      <c r="A27" s="17">
        <v>2</v>
      </c>
      <c r="B27" s="18" t="s">
        <v>109</v>
      </c>
      <c r="C27" s="19">
        <v>0</v>
      </c>
      <c r="D27" s="5">
        <v>1</v>
      </c>
      <c r="E27" s="4" t="s">
        <v>219</v>
      </c>
    </row>
    <row r="28" spans="1:5" ht="18" customHeight="1" x14ac:dyDescent="0.2">
      <c r="A28" s="17">
        <v>3</v>
      </c>
      <c r="B28" s="18" t="s">
        <v>110</v>
      </c>
      <c r="C28" s="19">
        <v>0</v>
      </c>
      <c r="D28" s="5">
        <v>2</v>
      </c>
      <c r="E28" s="4" t="s">
        <v>221</v>
      </c>
    </row>
    <row r="29" spans="1:5" ht="18" customHeight="1" x14ac:dyDescent="0.2">
      <c r="A29" s="17">
        <v>4</v>
      </c>
      <c r="B29" s="18" t="s">
        <v>111</v>
      </c>
      <c r="C29" s="19">
        <f>1/40*Hauptberechnung!U55</f>
        <v>0</v>
      </c>
      <c r="D29" s="5">
        <v>3</v>
      </c>
      <c r="E29" s="4" t="s">
        <v>222</v>
      </c>
    </row>
    <row r="30" spans="1:5" ht="18" customHeight="1" x14ac:dyDescent="0.2">
      <c r="A30" s="17">
        <v>5</v>
      </c>
      <c r="B30" s="18" t="s">
        <v>108</v>
      </c>
      <c r="C30" s="19">
        <v>0</v>
      </c>
      <c r="D30" s="5">
        <v>4</v>
      </c>
      <c r="E30" s="4" t="s">
        <v>220</v>
      </c>
    </row>
    <row r="33" spans="1:4" ht="18" customHeight="1" x14ac:dyDescent="0.2">
      <c r="A33" s="14">
        <v>1</v>
      </c>
      <c r="B33" s="15" t="s">
        <v>116</v>
      </c>
    </row>
    <row r="34" spans="1:4" ht="18" customHeight="1" x14ac:dyDescent="0.2">
      <c r="A34" s="17">
        <v>1</v>
      </c>
      <c r="B34" s="18" t="s">
        <v>121</v>
      </c>
    </row>
    <row r="35" spans="1:4" ht="18" customHeight="1" x14ac:dyDescent="0.2">
      <c r="A35" s="17">
        <v>2</v>
      </c>
      <c r="B35" s="18" t="s">
        <v>379</v>
      </c>
    </row>
    <row r="36" spans="1:4" ht="18" customHeight="1" x14ac:dyDescent="0.2">
      <c r="A36" s="17">
        <v>3</v>
      </c>
      <c r="B36" s="18" t="s">
        <v>380</v>
      </c>
    </row>
    <row r="37" spans="1:4" ht="18" customHeight="1" x14ac:dyDescent="0.2">
      <c r="A37" s="17"/>
      <c r="B37" s="18"/>
    </row>
    <row r="40" spans="1:4" ht="18" customHeight="1" x14ac:dyDescent="0.2">
      <c r="B40" s="140" t="s">
        <v>92</v>
      </c>
      <c r="C40" s="140"/>
      <c r="D40" s="140"/>
    </row>
    <row r="41" spans="1:4" ht="18" customHeight="1" x14ac:dyDescent="0.25">
      <c r="A41" s="370">
        <v>1</v>
      </c>
      <c r="B41" s="142">
        <v>0</v>
      </c>
      <c r="C41" s="375">
        <v>0</v>
      </c>
      <c r="D41" s="375" t="s">
        <v>137</v>
      </c>
    </row>
    <row r="42" spans="1:4" ht="18" customHeight="1" x14ac:dyDescent="0.25">
      <c r="A42" s="370">
        <v>2</v>
      </c>
      <c r="B42" s="142" t="str">
        <f>"1.Kind: " &amp; KGKind1 &amp; " €"</f>
        <v>1.Kind: 190 €</v>
      </c>
      <c r="C42" s="375">
        <f>-KGKind1</f>
        <v>-190</v>
      </c>
      <c r="D42" s="141" t="s">
        <v>19</v>
      </c>
    </row>
    <row r="43" spans="1:4" ht="18" customHeight="1" x14ac:dyDescent="0.25">
      <c r="A43" s="370">
        <v>3</v>
      </c>
      <c r="B43" s="142" t="str">
        <f>"2.Kind: " &amp; KGKind2 &amp; " €"</f>
        <v>2.Kind: 190 €</v>
      </c>
      <c r="C43" s="375">
        <f>-KGKind2</f>
        <v>-190</v>
      </c>
      <c r="D43" s="141" t="s">
        <v>20</v>
      </c>
    </row>
    <row r="44" spans="1:4" ht="18" customHeight="1" x14ac:dyDescent="0.25">
      <c r="A44" s="370">
        <v>4</v>
      </c>
      <c r="B44" s="142" t="str">
        <f>"3.Kind: " &amp; KGKind3 &amp; " €"</f>
        <v>3.Kind: 196 €</v>
      </c>
      <c r="C44" s="375">
        <f>-KGKind3</f>
        <v>-196</v>
      </c>
      <c r="D44" s="141" t="s">
        <v>21</v>
      </c>
    </row>
    <row r="45" spans="1:4" ht="18" customHeight="1" x14ac:dyDescent="0.25">
      <c r="A45" s="370">
        <v>5</v>
      </c>
      <c r="B45" s="142" t="str">
        <f>"w.Kind: " &amp; KGKind4 &amp; " €"</f>
        <v>w.Kind: 221 €</v>
      </c>
      <c r="C45" s="375">
        <f>-KGKind4</f>
        <v>-221</v>
      </c>
      <c r="D45" s="141" t="s">
        <v>18</v>
      </c>
    </row>
    <row r="46" spans="1:4" ht="18" customHeight="1" x14ac:dyDescent="0.25">
      <c r="A46" s="370">
        <v>6</v>
      </c>
      <c r="B46" s="142" t="str">
        <f>"1.Kind " &amp; KGKind1/2 &amp; " €"</f>
        <v>1.Kind 95 €</v>
      </c>
      <c r="C46" s="375">
        <f>-KGKind1/2</f>
        <v>-95</v>
      </c>
      <c r="D46" s="141" t="s">
        <v>19</v>
      </c>
    </row>
    <row r="47" spans="1:4" ht="18" customHeight="1" x14ac:dyDescent="0.25">
      <c r="A47" s="370">
        <v>7</v>
      </c>
      <c r="B47" s="142" t="str">
        <f>"2.Kind " &amp; KGKind2/2 &amp; " €"</f>
        <v>2.Kind 95 €</v>
      </c>
      <c r="C47" s="375">
        <f>-KGKind2/2</f>
        <v>-95</v>
      </c>
      <c r="D47" s="141" t="s">
        <v>20</v>
      </c>
    </row>
    <row r="48" spans="1:4" ht="18" customHeight="1" x14ac:dyDescent="0.25">
      <c r="A48" s="370">
        <v>8</v>
      </c>
      <c r="B48" s="142" t="str">
        <f>"3.Kind " &amp; KGKind3/2 &amp; " €"</f>
        <v>3.Kind 98 €</v>
      </c>
      <c r="C48" s="375">
        <f>-KGKind3/2</f>
        <v>-98</v>
      </c>
      <c r="D48" s="141" t="s">
        <v>21</v>
      </c>
    </row>
    <row r="49" spans="1:4" ht="18" customHeight="1" x14ac:dyDescent="0.25">
      <c r="A49" s="370">
        <v>9</v>
      </c>
      <c r="B49" s="142" t="str">
        <f>"w.Kind " &amp; KGKind4/2 &amp; " €"</f>
        <v>w.Kind 110,5 €</v>
      </c>
      <c r="C49" s="375">
        <f>-KGKind4/2</f>
        <v>-110.5</v>
      </c>
      <c r="D49" s="141" t="s">
        <v>18</v>
      </c>
    </row>
    <row r="50" spans="1:4" ht="18" customHeight="1" x14ac:dyDescent="0.2">
      <c r="A50" s="141"/>
      <c r="B50" s="141"/>
      <c r="C50" s="141"/>
      <c r="D50" s="141"/>
    </row>
    <row r="51" spans="1:4" ht="18" customHeight="1" x14ac:dyDescent="0.2">
      <c r="A51" s="140" t="s">
        <v>90</v>
      </c>
      <c r="B51" s="140"/>
      <c r="C51" s="141"/>
      <c r="D51" s="141"/>
    </row>
    <row r="52" spans="1:4" ht="18" customHeight="1" x14ac:dyDescent="0.2">
      <c r="A52" s="143" t="s">
        <v>93</v>
      </c>
      <c r="B52" s="141">
        <v>1</v>
      </c>
      <c r="C52" s="141"/>
      <c r="D52" s="141"/>
    </row>
    <row r="53" spans="1:4" ht="18" customHeight="1" x14ac:dyDescent="0.2">
      <c r="A53" s="143" t="s">
        <v>94</v>
      </c>
      <c r="B53" s="141">
        <v>1</v>
      </c>
      <c r="C53" s="141"/>
      <c r="D53" s="141"/>
    </row>
    <row r="54" spans="1:4" ht="18" customHeight="1" x14ac:dyDescent="0.2">
      <c r="A54" s="143" t="s">
        <v>95</v>
      </c>
      <c r="B54" s="141">
        <v>1</v>
      </c>
      <c r="C54" s="141"/>
      <c r="D54" s="141"/>
    </row>
    <row r="55" spans="1:4" ht="18" customHeight="1" x14ac:dyDescent="0.2">
      <c r="A55" s="143" t="s">
        <v>96</v>
      </c>
      <c r="B55" s="141">
        <v>1</v>
      </c>
      <c r="C55" s="141"/>
      <c r="D55" s="141"/>
    </row>
    <row r="56" spans="1:4" ht="18" customHeight="1" x14ac:dyDescent="0.2">
      <c r="A56" s="143" t="s">
        <v>97</v>
      </c>
      <c r="B56" s="141">
        <v>1</v>
      </c>
      <c r="C56" s="141"/>
      <c r="D56" s="141"/>
    </row>
    <row r="57" spans="1:4" ht="18" customHeight="1" x14ac:dyDescent="0.2">
      <c r="A57" s="143" t="s">
        <v>98</v>
      </c>
      <c r="B57" s="141">
        <v>1</v>
      </c>
      <c r="C57" s="141"/>
      <c r="D57" s="141"/>
    </row>
    <row r="58" spans="1:4" ht="18" customHeight="1" x14ac:dyDescent="0.2">
      <c r="A58" s="143" t="s">
        <v>99</v>
      </c>
      <c r="B58" s="141">
        <v>1</v>
      </c>
      <c r="C58" s="141"/>
      <c r="D58" s="141"/>
    </row>
    <row r="59" spans="1:4" ht="18" customHeight="1" x14ac:dyDescent="0.2">
      <c r="A59" s="143" t="s">
        <v>100</v>
      </c>
      <c r="B59" s="141">
        <v>1</v>
      </c>
      <c r="C59" s="141"/>
      <c r="D59" s="141"/>
    </row>
    <row r="60" spans="1:4" ht="18" customHeight="1" x14ac:dyDescent="0.2">
      <c r="A60" s="143" t="s">
        <v>101</v>
      </c>
      <c r="B60" s="141">
        <v>1</v>
      </c>
      <c r="C60" s="141"/>
      <c r="D60" s="141"/>
    </row>
    <row r="61" spans="1:4" ht="18" customHeight="1" x14ac:dyDescent="0.2">
      <c r="A61" s="143" t="s">
        <v>102</v>
      </c>
      <c r="B61" s="141">
        <v>1</v>
      </c>
      <c r="C61" s="141"/>
      <c r="D61" s="141"/>
    </row>
    <row r="63" spans="1:4" ht="18" customHeight="1" x14ac:dyDescent="0.2">
      <c r="A63" s="226">
        <v>1</v>
      </c>
      <c r="B63" s="227" t="s">
        <v>318</v>
      </c>
    </row>
    <row r="64" spans="1:4" ht="18" customHeight="1" x14ac:dyDescent="0.2">
      <c r="A64" s="228">
        <v>1</v>
      </c>
      <c r="B64" s="229" t="s">
        <v>121</v>
      </c>
    </row>
    <row r="65" spans="1:2" ht="18" customHeight="1" x14ac:dyDescent="0.2">
      <c r="A65" s="228">
        <v>2</v>
      </c>
      <c r="B65" s="230" t="s">
        <v>319</v>
      </c>
    </row>
    <row r="66" spans="1:2" ht="18" customHeight="1" x14ac:dyDescent="0.2">
      <c r="A66" s="228">
        <v>3</v>
      </c>
      <c r="B66" s="230" t="s">
        <v>320</v>
      </c>
    </row>
    <row r="69" spans="1:2" ht="18" customHeight="1" x14ac:dyDescent="0.2">
      <c r="A69" s="226">
        <v>1</v>
      </c>
      <c r="B69" s="369" t="s">
        <v>10</v>
      </c>
    </row>
    <row r="70" spans="1:2" ht="18" customHeight="1" x14ac:dyDescent="0.25">
      <c r="A70" s="370">
        <v>1</v>
      </c>
      <c r="B70" s="370" t="s">
        <v>121</v>
      </c>
    </row>
    <row r="71" spans="1:2" ht="18" customHeight="1" x14ac:dyDescent="0.25">
      <c r="A71" s="370">
        <v>2</v>
      </c>
      <c r="B71" s="370" t="s">
        <v>7</v>
      </c>
    </row>
    <row r="72" spans="1:2" ht="18" customHeight="1" x14ac:dyDescent="0.25">
      <c r="A72" s="370">
        <v>3</v>
      </c>
      <c r="B72" s="370" t="s">
        <v>8</v>
      </c>
    </row>
    <row r="73" spans="1:2" ht="18" customHeight="1" x14ac:dyDescent="0.25">
      <c r="A73" s="370">
        <v>4</v>
      </c>
      <c r="B73" s="370" t="s">
        <v>9</v>
      </c>
    </row>
    <row r="75" spans="1:2" ht="18" customHeight="1" x14ac:dyDescent="0.2">
      <c r="A75" s="226">
        <v>1</v>
      </c>
      <c r="B75" s="369" t="s">
        <v>11</v>
      </c>
    </row>
    <row r="76" spans="1:2" ht="18" customHeight="1" x14ac:dyDescent="0.25">
      <c r="A76" s="370">
        <v>1</v>
      </c>
      <c r="B76" s="370" t="str">
        <f>B70</f>
        <v>Bitte wählen…</v>
      </c>
    </row>
    <row r="77" spans="1:2" ht="18" customHeight="1" x14ac:dyDescent="0.25">
      <c r="A77" s="370">
        <v>2</v>
      </c>
      <c r="B77" s="370" t="str">
        <f>B71</f>
        <v>im HH lebende/r Ehe-/Lebenspartner/in</v>
      </c>
    </row>
    <row r="78" spans="1:2" ht="18" customHeight="1" x14ac:dyDescent="0.25">
      <c r="A78" s="370">
        <v>3</v>
      </c>
      <c r="B78" s="370" t="str">
        <f>B72</f>
        <v>getrennt lebende/r Ehepartner/in</v>
      </c>
    </row>
    <row r="79" spans="1:2" ht="18" customHeight="1" x14ac:dyDescent="0.25">
      <c r="A79" s="370">
        <v>4</v>
      </c>
      <c r="B79" s="370" t="str">
        <f>B73</f>
        <v>geschiedene/r Ehepartner/in</v>
      </c>
    </row>
    <row r="81" spans="1:4" ht="18" customHeight="1" x14ac:dyDescent="0.2">
      <c r="A81" s="226">
        <v>1</v>
      </c>
      <c r="B81" s="369" t="s">
        <v>12</v>
      </c>
    </row>
    <row r="82" spans="1:4" ht="18" customHeight="1" x14ac:dyDescent="0.25">
      <c r="A82" s="370">
        <v>1</v>
      </c>
      <c r="B82" s="370" t="str">
        <f>B76</f>
        <v>Bitte wählen…</v>
      </c>
    </row>
    <row r="83" spans="1:4" ht="18" customHeight="1" x14ac:dyDescent="0.25">
      <c r="A83" s="370">
        <v>2</v>
      </c>
      <c r="B83" s="370" t="str">
        <f>B77</f>
        <v>im HH lebende/r Ehe-/Lebenspartner/in</v>
      </c>
    </row>
    <row r="84" spans="1:4" ht="18" customHeight="1" x14ac:dyDescent="0.25">
      <c r="A84" s="370">
        <v>3</v>
      </c>
      <c r="B84" s="370" t="str">
        <f>B78</f>
        <v>getrennt lebende/r Ehepartner/in</v>
      </c>
    </row>
    <row r="85" spans="1:4" ht="18" customHeight="1" x14ac:dyDescent="0.25">
      <c r="A85" s="370">
        <v>4</v>
      </c>
      <c r="B85" s="370" t="str">
        <f>B79</f>
        <v>geschiedene/r Ehepartner/in</v>
      </c>
    </row>
    <row r="88" spans="1:4" ht="18" customHeight="1" x14ac:dyDescent="0.2">
      <c r="A88" s="226">
        <v>1</v>
      </c>
      <c r="B88" s="369" t="s">
        <v>14</v>
      </c>
      <c r="C88" s="374"/>
      <c r="D88" s="374"/>
    </row>
    <row r="89" spans="1:4" ht="18" customHeight="1" x14ac:dyDescent="0.25">
      <c r="A89" s="370">
        <v>1</v>
      </c>
      <c r="B89" s="142">
        <v>0</v>
      </c>
      <c r="C89" s="375">
        <v>0</v>
      </c>
      <c r="D89" s="375" t="s">
        <v>137</v>
      </c>
    </row>
    <row r="90" spans="1:4" ht="18" customHeight="1" x14ac:dyDescent="0.25">
      <c r="A90" s="370">
        <v>2</v>
      </c>
      <c r="B90" s="142" t="str">
        <f>"1.Kind: " &amp; KGKind1 &amp; " €"</f>
        <v>1.Kind: 190 €</v>
      </c>
      <c r="C90" s="375">
        <f>-KGKind1</f>
        <v>-190</v>
      </c>
      <c r="D90" s="141" t="s">
        <v>19</v>
      </c>
    </row>
    <row r="91" spans="1:4" ht="18" customHeight="1" x14ac:dyDescent="0.25">
      <c r="A91" s="370">
        <v>3</v>
      </c>
      <c r="B91" s="142" t="str">
        <f>"2.Kind: " &amp; KGKind2 &amp; " €"</f>
        <v>2.Kind: 190 €</v>
      </c>
      <c r="C91" s="375">
        <f>-KGKind2</f>
        <v>-190</v>
      </c>
      <c r="D91" s="141" t="s">
        <v>20</v>
      </c>
    </row>
    <row r="92" spans="1:4" ht="18" customHeight="1" x14ac:dyDescent="0.25">
      <c r="A92" s="370">
        <v>4</v>
      </c>
      <c r="B92" s="142" t="str">
        <f>"3.Kind: " &amp; KGKind3 &amp; " €"</f>
        <v>3.Kind: 196 €</v>
      </c>
      <c r="C92" s="375">
        <f>-KGKind3</f>
        <v>-196</v>
      </c>
      <c r="D92" s="141" t="s">
        <v>21</v>
      </c>
    </row>
    <row r="93" spans="1:4" ht="18" customHeight="1" x14ac:dyDescent="0.25">
      <c r="A93" s="370">
        <v>5</v>
      </c>
      <c r="B93" s="142" t="str">
        <f>"w.Kind: " &amp; KGKind4 &amp; " €"</f>
        <v>w.Kind: 221 €</v>
      </c>
      <c r="C93" s="375">
        <f>-KGKind4</f>
        <v>-221</v>
      </c>
      <c r="D93" s="141" t="s">
        <v>18</v>
      </c>
    </row>
    <row r="94" spans="1:4" ht="18" customHeight="1" x14ac:dyDescent="0.25">
      <c r="A94" s="370">
        <v>6</v>
      </c>
      <c r="B94" s="142" t="str">
        <f>"1.Kind " &amp; KGKind1/2 &amp; " €"</f>
        <v>1.Kind 95 €</v>
      </c>
      <c r="C94" s="375">
        <f>-KGKind1/2</f>
        <v>-95</v>
      </c>
      <c r="D94" s="141" t="s">
        <v>19</v>
      </c>
    </row>
    <row r="95" spans="1:4" ht="18" customHeight="1" x14ac:dyDescent="0.25">
      <c r="A95" s="370">
        <v>7</v>
      </c>
      <c r="B95" s="142" t="str">
        <f>"2.Kind " &amp; KGKind2/2 &amp; " €"</f>
        <v>2.Kind 95 €</v>
      </c>
      <c r="C95" s="375">
        <f>-KGKind2/2</f>
        <v>-95</v>
      </c>
      <c r="D95" s="141" t="s">
        <v>20</v>
      </c>
    </row>
    <row r="96" spans="1:4" ht="18" customHeight="1" x14ac:dyDescent="0.25">
      <c r="A96" s="370">
        <v>8</v>
      </c>
      <c r="B96" s="142" t="str">
        <f>"3.Kind " &amp; KGKind3/2 &amp; " €"</f>
        <v>3.Kind 98 €</v>
      </c>
      <c r="C96" s="375">
        <f>-KGKind3/2</f>
        <v>-98</v>
      </c>
      <c r="D96" s="141" t="s">
        <v>21</v>
      </c>
    </row>
    <row r="97" spans="1:4" ht="18" customHeight="1" x14ac:dyDescent="0.25">
      <c r="A97" s="370">
        <v>9</v>
      </c>
      <c r="B97" s="142" t="str">
        <f>"w.Kind " &amp; KGKind4/2 &amp; " €"</f>
        <v>w.Kind 110,5 €</v>
      </c>
      <c r="C97" s="375">
        <f>-KGKind4/2</f>
        <v>-110.5</v>
      </c>
      <c r="D97" s="141" t="s">
        <v>18</v>
      </c>
    </row>
    <row r="98" spans="1:4" ht="18" customHeight="1" x14ac:dyDescent="0.25">
      <c r="A98" s="370"/>
      <c r="B98" s="142"/>
      <c r="C98" s="375"/>
      <c r="D98" s="141"/>
    </row>
    <row r="100" spans="1:4" ht="18" customHeight="1" x14ac:dyDescent="0.2">
      <c r="A100" s="226">
        <v>1</v>
      </c>
      <c r="B100" s="369" t="s">
        <v>15</v>
      </c>
      <c r="C100" s="374"/>
      <c r="D100" s="374"/>
    </row>
    <row r="101" spans="1:4" ht="18" customHeight="1" x14ac:dyDescent="0.25">
      <c r="A101" s="370">
        <v>1</v>
      </c>
      <c r="B101" s="142">
        <v>0</v>
      </c>
      <c r="C101" s="375">
        <v>0</v>
      </c>
      <c r="D101" s="375" t="s">
        <v>137</v>
      </c>
    </row>
    <row r="102" spans="1:4" ht="18" customHeight="1" x14ac:dyDescent="0.25">
      <c r="A102" s="370">
        <v>2</v>
      </c>
      <c r="B102" s="142" t="str">
        <f>"1.Kind: " &amp; KGKind1 &amp; " €"</f>
        <v>1.Kind: 190 €</v>
      </c>
      <c r="C102" s="375">
        <f>-KGKind1</f>
        <v>-190</v>
      </c>
      <c r="D102" s="141" t="s">
        <v>19</v>
      </c>
    </row>
    <row r="103" spans="1:4" ht="18" customHeight="1" x14ac:dyDescent="0.25">
      <c r="A103" s="370">
        <v>3</v>
      </c>
      <c r="B103" s="142" t="str">
        <f>"2.Kind: " &amp; KGKind2 &amp; " €"</f>
        <v>2.Kind: 190 €</v>
      </c>
      <c r="C103" s="375">
        <f>-KGKind2</f>
        <v>-190</v>
      </c>
      <c r="D103" s="141" t="s">
        <v>20</v>
      </c>
    </row>
    <row r="104" spans="1:4" ht="18" customHeight="1" x14ac:dyDescent="0.25">
      <c r="A104" s="370">
        <v>4</v>
      </c>
      <c r="B104" s="142" t="str">
        <f>"3.Kind: " &amp; KGKind3 &amp; " €"</f>
        <v>3.Kind: 196 €</v>
      </c>
      <c r="C104" s="375">
        <f>-KGKind3</f>
        <v>-196</v>
      </c>
      <c r="D104" s="141" t="s">
        <v>21</v>
      </c>
    </row>
    <row r="105" spans="1:4" ht="18" customHeight="1" x14ac:dyDescent="0.25">
      <c r="A105" s="370">
        <v>5</v>
      </c>
      <c r="B105" s="142" t="str">
        <f>"w.Kind: " &amp; KGKind4 &amp; " €"</f>
        <v>w.Kind: 221 €</v>
      </c>
      <c r="C105" s="375">
        <f>-KGKind4</f>
        <v>-221</v>
      </c>
      <c r="D105" s="141" t="s">
        <v>18</v>
      </c>
    </row>
    <row r="106" spans="1:4" ht="18" customHeight="1" x14ac:dyDescent="0.25">
      <c r="A106" s="370">
        <v>6</v>
      </c>
      <c r="B106" s="142" t="str">
        <f>"1.Kind " &amp; KGKind1/2 &amp; " €"</f>
        <v>1.Kind 95 €</v>
      </c>
      <c r="C106" s="375">
        <f>-KGKind1/2</f>
        <v>-95</v>
      </c>
      <c r="D106" s="141" t="s">
        <v>19</v>
      </c>
    </row>
    <row r="107" spans="1:4" ht="18" customHeight="1" x14ac:dyDescent="0.25">
      <c r="A107" s="370">
        <v>7</v>
      </c>
      <c r="B107" s="142" t="str">
        <f>"2.Kind " &amp; KGKind2/2 &amp; " €"</f>
        <v>2.Kind 95 €</v>
      </c>
      <c r="C107" s="375">
        <f>-KGKind2/2</f>
        <v>-95</v>
      </c>
      <c r="D107" s="141" t="s">
        <v>20</v>
      </c>
    </row>
    <row r="108" spans="1:4" ht="18" customHeight="1" x14ac:dyDescent="0.25">
      <c r="A108" s="370">
        <v>8</v>
      </c>
      <c r="B108" s="142" t="str">
        <f>"3.Kind " &amp; KGKind3/2 &amp; " €"</f>
        <v>3.Kind 98 €</v>
      </c>
      <c r="C108" s="375">
        <f>-KGKind3/2</f>
        <v>-98</v>
      </c>
      <c r="D108" s="141" t="s">
        <v>21</v>
      </c>
    </row>
    <row r="109" spans="1:4" ht="18" customHeight="1" x14ac:dyDescent="0.25">
      <c r="A109" s="370">
        <v>9</v>
      </c>
      <c r="B109" s="142" t="str">
        <f>"w.Kind " &amp; KGKind4/2 &amp; " €"</f>
        <v>w.Kind 110,5 €</v>
      </c>
      <c r="C109" s="375">
        <f>-KGKind4/2</f>
        <v>-110.5</v>
      </c>
      <c r="D109" s="141" t="s">
        <v>18</v>
      </c>
    </row>
    <row r="110" spans="1:4" ht="18" customHeight="1" x14ac:dyDescent="0.25">
      <c r="A110" s="370"/>
      <c r="B110" s="142"/>
      <c r="C110" s="375"/>
      <c r="D110" s="141"/>
    </row>
    <row r="112" spans="1:4" ht="18" customHeight="1" x14ac:dyDescent="0.2">
      <c r="A112" s="226">
        <v>1</v>
      </c>
      <c r="B112" s="369" t="s">
        <v>16</v>
      </c>
      <c r="C112" s="374"/>
      <c r="D112" s="374"/>
    </row>
    <row r="113" spans="1:4" ht="18" customHeight="1" x14ac:dyDescent="0.25">
      <c r="A113" s="370">
        <v>1</v>
      </c>
      <c r="B113" s="142">
        <v>0</v>
      </c>
      <c r="C113" s="375">
        <v>0</v>
      </c>
      <c r="D113" s="375" t="s">
        <v>137</v>
      </c>
    </row>
    <row r="114" spans="1:4" ht="18" customHeight="1" x14ac:dyDescent="0.25">
      <c r="A114" s="370">
        <v>2</v>
      </c>
      <c r="B114" s="142" t="str">
        <f>"1.Kind: " &amp; KGKind1 &amp; " €"</f>
        <v>1.Kind: 190 €</v>
      </c>
      <c r="C114" s="375">
        <f>-KGKind1</f>
        <v>-190</v>
      </c>
      <c r="D114" s="141" t="s">
        <v>19</v>
      </c>
    </row>
    <row r="115" spans="1:4" ht="18" customHeight="1" x14ac:dyDescent="0.25">
      <c r="A115" s="370">
        <v>3</v>
      </c>
      <c r="B115" s="142" t="str">
        <f>"2.Kind: " &amp; KGKind2 &amp; " €"</f>
        <v>2.Kind: 190 €</v>
      </c>
      <c r="C115" s="375">
        <f>-KGKind2</f>
        <v>-190</v>
      </c>
      <c r="D115" s="141" t="s">
        <v>20</v>
      </c>
    </row>
    <row r="116" spans="1:4" ht="18" customHeight="1" x14ac:dyDescent="0.25">
      <c r="A116" s="370">
        <v>4</v>
      </c>
      <c r="B116" s="142" t="str">
        <f>"3.Kind: " &amp; KGKind3 &amp; " €"</f>
        <v>3.Kind: 196 €</v>
      </c>
      <c r="C116" s="375">
        <f>-KGKind3</f>
        <v>-196</v>
      </c>
      <c r="D116" s="141" t="s">
        <v>21</v>
      </c>
    </row>
    <row r="117" spans="1:4" ht="18" customHeight="1" x14ac:dyDescent="0.25">
      <c r="A117" s="370">
        <v>5</v>
      </c>
      <c r="B117" s="142" t="str">
        <f>"w.Kind: " &amp; KGKind4 &amp; " €"</f>
        <v>w.Kind: 221 €</v>
      </c>
      <c r="C117" s="375">
        <f>-KGKind4</f>
        <v>-221</v>
      </c>
      <c r="D117" s="141" t="s">
        <v>18</v>
      </c>
    </row>
    <row r="118" spans="1:4" ht="18" customHeight="1" x14ac:dyDescent="0.25">
      <c r="A118" s="370">
        <v>6</v>
      </c>
      <c r="B118" s="142" t="str">
        <f>"1.Kind " &amp; KGKind1/2 &amp; " €"</f>
        <v>1.Kind 95 €</v>
      </c>
      <c r="C118" s="375">
        <f>-KGKind1/2</f>
        <v>-95</v>
      </c>
      <c r="D118" s="141" t="s">
        <v>19</v>
      </c>
    </row>
    <row r="119" spans="1:4" ht="18" customHeight="1" x14ac:dyDescent="0.25">
      <c r="A119" s="370">
        <v>7</v>
      </c>
      <c r="B119" s="142" t="str">
        <f>"2.Kind " &amp; KGKind2/2 &amp; " €"</f>
        <v>2.Kind 95 €</v>
      </c>
      <c r="C119" s="375">
        <f>-KGKind2/2</f>
        <v>-95</v>
      </c>
      <c r="D119" s="141" t="s">
        <v>20</v>
      </c>
    </row>
    <row r="120" spans="1:4" ht="18" customHeight="1" x14ac:dyDescent="0.25">
      <c r="A120" s="370">
        <v>8</v>
      </c>
      <c r="B120" s="142" t="str">
        <f>"3.Kind " &amp; KGKind3/2 &amp; " €"</f>
        <v>3.Kind 98 €</v>
      </c>
      <c r="C120" s="375">
        <f>-KGKind3/2</f>
        <v>-98</v>
      </c>
      <c r="D120" s="141" t="s">
        <v>21</v>
      </c>
    </row>
    <row r="121" spans="1:4" ht="18" customHeight="1" x14ac:dyDescent="0.25">
      <c r="A121" s="370">
        <v>9</v>
      </c>
      <c r="B121" s="142" t="str">
        <f>"w.Kind " &amp; KGKind4/2 &amp; " €"</f>
        <v>w.Kind 110,5 €</v>
      </c>
      <c r="C121" s="375">
        <f>-KGKind4/2</f>
        <v>-110.5</v>
      </c>
      <c r="D121" s="141" t="s">
        <v>18</v>
      </c>
    </row>
    <row r="122" spans="1:4" ht="18" customHeight="1" x14ac:dyDescent="0.25">
      <c r="A122" s="370"/>
      <c r="B122" s="142"/>
      <c r="C122" s="375"/>
      <c r="D122" s="141"/>
    </row>
    <row r="124" spans="1:4" ht="18" customHeight="1" x14ac:dyDescent="0.2">
      <c r="A124" s="226">
        <v>1</v>
      </c>
      <c r="B124" s="369" t="s">
        <v>17</v>
      </c>
      <c r="C124" s="374"/>
      <c r="D124" s="374"/>
    </row>
    <row r="125" spans="1:4" ht="18" customHeight="1" x14ac:dyDescent="0.25">
      <c r="A125" s="370">
        <v>1</v>
      </c>
      <c r="B125" s="142">
        <v>0</v>
      </c>
      <c r="C125" s="375">
        <v>0</v>
      </c>
      <c r="D125" s="375" t="s">
        <v>137</v>
      </c>
    </row>
    <row r="126" spans="1:4" ht="18" customHeight="1" x14ac:dyDescent="0.25">
      <c r="A126" s="370">
        <v>2</v>
      </c>
      <c r="B126" s="142" t="str">
        <f>"1.Kind: " &amp; KGKind1 &amp; " €"</f>
        <v>1.Kind: 190 €</v>
      </c>
      <c r="C126" s="375">
        <f>-KGKind1</f>
        <v>-190</v>
      </c>
      <c r="D126" s="141" t="s">
        <v>19</v>
      </c>
    </row>
    <row r="127" spans="1:4" ht="18" customHeight="1" x14ac:dyDescent="0.25">
      <c r="A127" s="370">
        <v>3</v>
      </c>
      <c r="B127" s="142" t="str">
        <f>"2.Kind: " &amp; KGKind2 &amp; " €"</f>
        <v>2.Kind: 190 €</v>
      </c>
      <c r="C127" s="375">
        <f>-KGKind2</f>
        <v>-190</v>
      </c>
      <c r="D127" s="141" t="s">
        <v>20</v>
      </c>
    </row>
    <row r="128" spans="1:4" ht="18" customHeight="1" x14ac:dyDescent="0.25">
      <c r="A128" s="370">
        <v>4</v>
      </c>
      <c r="B128" s="142" t="str">
        <f>"3.Kind: " &amp; KGKind3 &amp; " €"</f>
        <v>3.Kind: 196 €</v>
      </c>
      <c r="C128" s="375">
        <f>-KGKind3</f>
        <v>-196</v>
      </c>
      <c r="D128" s="141" t="s">
        <v>21</v>
      </c>
    </row>
    <row r="129" spans="1:4" ht="18" customHeight="1" x14ac:dyDescent="0.25">
      <c r="A129" s="370">
        <v>5</v>
      </c>
      <c r="B129" s="142" t="str">
        <f>"w.Kind: " &amp; KGKind4 &amp; " €"</f>
        <v>w.Kind: 221 €</v>
      </c>
      <c r="C129" s="375">
        <f>-KGKind4</f>
        <v>-221</v>
      </c>
      <c r="D129" s="141" t="s">
        <v>18</v>
      </c>
    </row>
    <row r="130" spans="1:4" ht="18" customHeight="1" x14ac:dyDescent="0.25">
      <c r="A130" s="370">
        <v>6</v>
      </c>
      <c r="B130" s="142" t="str">
        <f>"1.Kind " &amp; KGKind1/2 &amp; " €"</f>
        <v>1.Kind 95 €</v>
      </c>
      <c r="C130" s="375">
        <f>-KGKind1/2</f>
        <v>-95</v>
      </c>
      <c r="D130" s="141" t="s">
        <v>19</v>
      </c>
    </row>
    <row r="131" spans="1:4" ht="18" customHeight="1" x14ac:dyDescent="0.25">
      <c r="A131" s="370">
        <v>7</v>
      </c>
      <c r="B131" s="142" t="str">
        <f>"2.Kind " &amp; KGKind2/2 &amp; " €"</f>
        <v>2.Kind 95 €</v>
      </c>
      <c r="C131" s="375">
        <f>-KGKind2/2</f>
        <v>-95</v>
      </c>
      <c r="D131" s="141" t="s">
        <v>20</v>
      </c>
    </row>
    <row r="132" spans="1:4" ht="18" customHeight="1" x14ac:dyDescent="0.25">
      <c r="A132" s="370">
        <v>8</v>
      </c>
      <c r="B132" s="142" t="str">
        <f>"3.Kind " &amp; KGKind3/2 &amp; " €"</f>
        <v>3.Kind 98 €</v>
      </c>
      <c r="C132" s="375">
        <f>-KGKind3/2</f>
        <v>-98</v>
      </c>
      <c r="D132" s="141" t="s">
        <v>21</v>
      </c>
    </row>
    <row r="133" spans="1:4" ht="18" customHeight="1" x14ac:dyDescent="0.25">
      <c r="A133" s="370">
        <v>9</v>
      </c>
      <c r="B133" s="142" t="str">
        <f>"w.Kind " &amp; KGKind4/2 &amp; " €"</f>
        <v>w.Kind 110,5 €</v>
      </c>
      <c r="C133" s="375">
        <f>-KGKind4/2</f>
        <v>-110.5</v>
      </c>
      <c r="D133" s="141" t="s">
        <v>18</v>
      </c>
    </row>
    <row r="136" spans="1:4" ht="18" customHeight="1" x14ac:dyDescent="0.2">
      <c r="A136" s="4">
        <v>1</v>
      </c>
      <c r="B136" s="2" t="s">
        <v>374</v>
      </c>
    </row>
    <row r="137" spans="1:4" ht="18" customHeight="1" x14ac:dyDescent="0.2">
      <c r="A137" s="4">
        <v>1</v>
      </c>
      <c r="B137" s="1" t="s">
        <v>121</v>
      </c>
    </row>
    <row r="138" spans="1:4" ht="18" customHeight="1" x14ac:dyDescent="0.2">
      <c r="A138" s="4">
        <v>2</v>
      </c>
      <c r="B138" s="382" t="s">
        <v>383</v>
      </c>
      <c r="C138" s="394" t="s">
        <v>384</v>
      </c>
    </row>
    <row r="139" spans="1:4" ht="18" customHeight="1" x14ac:dyDescent="0.2">
      <c r="A139" s="4">
        <v>3</v>
      </c>
      <c r="B139" s="382" t="s">
        <v>385</v>
      </c>
      <c r="C139" s="394" t="s">
        <v>386</v>
      </c>
    </row>
    <row r="140" spans="1:4" ht="18" customHeight="1" x14ac:dyDescent="0.2">
      <c r="A140" s="4">
        <v>4</v>
      </c>
      <c r="B140" s="382" t="s">
        <v>398</v>
      </c>
      <c r="C140" s="394" t="s">
        <v>386</v>
      </c>
    </row>
  </sheetData>
  <phoneticPr fontId="2" type="noConversion"/>
  <pageMargins left="0.98425196850393704" right="0.39370078740157483" top="0.59055118110236227" bottom="0.59055118110236227" header="0.51181102362204722" footer="0.51181102362204722"/>
  <pageSetup paperSize="9" scale="71" fitToHeight="10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8"/>
  </sheetPr>
  <dimension ref="A1:J51"/>
  <sheetViews>
    <sheetView topLeftCell="A25" workbookViewId="0">
      <selection activeCell="C44" sqref="C44"/>
    </sheetView>
  </sheetViews>
  <sheetFormatPr baseColWidth="10" defaultRowHeight="12.75" x14ac:dyDescent="0.2"/>
  <cols>
    <col min="1" max="1" width="11.42578125" style="29"/>
    <col min="2" max="2" width="41.42578125" style="29" bestFit="1" customWidth="1"/>
    <col min="3" max="5" width="14.7109375" style="29" customWidth="1"/>
    <col min="6" max="6" width="16.42578125" style="29" customWidth="1"/>
    <col min="7" max="16384" width="11.42578125" style="29"/>
  </cols>
  <sheetData>
    <row r="1" spans="1:10" ht="22.5" x14ac:dyDescent="0.2">
      <c r="A1" s="25" t="s">
        <v>180</v>
      </c>
      <c r="B1" s="25" t="s">
        <v>181</v>
      </c>
      <c r="C1" s="26" t="s">
        <v>182</v>
      </c>
      <c r="D1" s="26" t="s">
        <v>183</v>
      </c>
      <c r="E1" s="26" t="s">
        <v>184</v>
      </c>
      <c r="F1" s="26" t="s">
        <v>115</v>
      </c>
      <c r="G1" s="27"/>
      <c r="H1" s="28" t="s">
        <v>185</v>
      </c>
      <c r="I1" s="27"/>
      <c r="J1" s="27"/>
    </row>
    <row r="2" spans="1:10" x14ac:dyDescent="0.2">
      <c r="A2" s="30">
        <v>1</v>
      </c>
      <c r="B2" s="31">
        <v>1100.99</v>
      </c>
      <c r="C2" s="32">
        <v>0</v>
      </c>
      <c r="D2" s="32">
        <v>0</v>
      </c>
      <c r="E2" s="32">
        <v>0</v>
      </c>
      <c r="F2" s="32">
        <v>0</v>
      </c>
      <c r="G2" s="33"/>
      <c r="H2" s="34">
        <f>IF(C31&lt;=B2,A2,"")</f>
        <v>1</v>
      </c>
      <c r="I2" s="33"/>
      <c r="J2" s="33"/>
    </row>
    <row r="3" spans="1:10" x14ac:dyDescent="0.2">
      <c r="A3" s="30">
        <v>2</v>
      </c>
      <c r="B3" s="31">
        <v>1200.99</v>
      </c>
      <c r="C3" s="32">
        <v>50</v>
      </c>
      <c r="D3" s="32">
        <v>0</v>
      </c>
      <c r="E3" s="32">
        <v>0</v>
      </c>
      <c r="F3" s="32">
        <v>40</v>
      </c>
      <c r="G3" s="33"/>
      <c r="H3" s="34" t="str">
        <f t="shared" ref="H3:H29" si="0">IF(AND($C$31&lt;=B3,$C$31&gt;B2)=TRUE,A3,"")</f>
        <v/>
      </c>
      <c r="I3" s="33"/>
      <c r="J3" s="33"/>
    </row>
    <row r="4" spans="1:10" x14ac:dyDescent="0.2">
      <c r="A4" s="30">
        <v>3</v>
      </c>
      <c r="B4" s="31">
        <v>1300.99</v>
      </c>
      <c r="C4" s="32">
        <v>130</v>
      </c>
      <c r="D4" s="32">
        <v>0</v>
      </c>
      <c r="E4" s="32">
        <v>0</v>
      </c>
      <c r="F4" s="32">
        <v>50</v>
      </c>
      <c r="G4" s="33"/>
      <c r="H4" s="34" t="str">
        <f t="shared" si="0"/>
        <v/>
      </c>
      <c r="I4" s="33"/>
      <c r="J4" s="33"/>
    </row>
    <row r="5" spans="1:10" x14ac:dyDescent="0.2">
      <c r="A5" s="30">
        <v>4</v>
      </c>
      <c r="B5" s="31">
        <v>1450.99</v>
      </c>
      <c r="C5" s="32">
        <v>210</v>
      </c>
      <c r="D5" s="32">
        <v>30</v>
      </c>
      <c r="E5" s="32">
        <v>0</v>
      </c>
      <c r="F5" s="32">
        <v>60</v>
      </c>
      <c r="G5" s="33"/>
      <c r="H5" s="34" t="str">
        <f t="shared" si="0"/>
        <v/>
      </c>
      <c r="I5" s="33"/>
      <c r="J5" s="33"/>
    </row>
    <row r="6" spans="1:10" x14ac:dyDescent="0.2">
      <c r="A6" s="30">
        <v>5</v>
      </c>
      <c r="B6" s="31">
        <v>1600.99</v>
      </c>
      <c r="C6" s="32">
        <v>259</v>
      </c>
      <c r="D6" s="32">
        <v>60</v>
      </c>
      <c r="E6" s="32">
        <v>30</v>
      </c>
      <c r="F6" s="32">
        <v>70</v>
      </c>
      <c r="G6" s="33"/>
      <c r="H6" s="34" t="str">
        <f t="shared" si="0"/>
        <v/>
      </c>
      <c r="I6" s="33"/>
      <c r="J6" s="33"/>
    </row>
    <row r="7" spans="1:10" x14ac:dyDescent="0.2">
      <c r="A7" s="30">
        <v>6</v>
      </c>
      <c r="B7" s="31">
        <v>1800.99</v>
      </c>
      <c r="C7" s="32">
        <v>289</v>
      </c>
      <c r="D7" s="32">
        <v>85</v>
      </c>
      <c r="E7" s="32">
        <v>40</v>
      </c>
      <c r="F7" s="32">
        <v>85</v>
      </c>
      <c r="G7" s="33"/>
      <c r="H7" s="34" t="str">
        <f t="shared" si="0"/>
        <v/>
      </c>
      <c r="I7" s="33"/>
      <c r="J7" s="33"/>
    </row>
    <row r="8" spans="1:10" x14ac:dyDescent="0.2">
      <c r="A8" s="30">
        <v>7</v>
      </c>
      <c r="B8" s="31">
        <v>2000.99</v>
      </c>
      <c r="C8" s="32">
        <v>342</v>
      </c>
      <c r="D8" s="32">
        <v>105</v>
      </c>
      <c r="E8" s="32">
        <v>50</v>
      </c>
      <c r="F8" s="32">
        <v>95</v>
      </c>
      <c r="G8" s="33"/>
      <c r="H8" s="34" t="str">
        <f t="shared" si="0"/>
        <v/>
      </c>
      <c r="I8" s="33"/>
      <c r="J8" s="33"/>
    </row>
    <row r="9" spans="1:10" x14ac:dyDescent="0.2">
      <c r="A9" s="30">
        <v>8</v>
      </c>
      <c r="B9" s="31">
        <v>2200.9899999999998</v>
      </c>
      <c r="C9" s="32">
        <v>378</v>
      </c>
      <c r="D9" s="32">
        <v>140</v>
      </c>
      <c r="E9" s="32">
        <v>60</v>
      </c>
      <c r="F9" s="32">
        <v>105</v>
      </c>
      <c r="G9" s="33"/>
      <c r="H9" s="34" t="str">
        <f t="shared" si="0"/>
        <v/>
      </c>
      <c r="I9" s="33"/>
      <c r="J9" s="33"/>
    </row>
    <row r="10" spans="1:10" x14ac:dyDescent="0.2">
      <c r="A10" s="30">
        <v>9</v>
      </c>
      <c r="B10" s="31">
        <v>2400.9899999999998</v>
      </c>
      <c r="C10" s="32">
        <v>437</v>
      </c>
      <c r="D10" s="32">
        <v>175</v>
      </c>
      <c r="E10" s="32">
        <v>80</v>
      </c>
      <c r="F10" s="32">
        <v>115</v>
      </c>
      <c r="G10" s="33"/>
      <c r="H10" s="34" t="str">
        <f t="shared" si="0"/>
        <v/>
      </c>
      <c r="I10" s="33"/>
      <c r="J10" s="33"/>
    </row>
    <row r="11" spans="1:10" x14ac:dyDescent="0.2">
      <c r="A11" s="30">
        <v>10</v>
      </c>
      <c r="B11" s="31">
        <v>2700.99</v>
      </c>
      <c r="C11" s="32">
        <v>510</v>
      </c>
      <c r="D11" s="32">
        <v>220</v>
      </c>
      <c r="E11" s="32">
        <v>120</v>
      </c>
      <c r="F11" s="32">
        <v>130</v>
      </c>
      <c r="G11" s="33"/>
      <c r="H11" s="34" t="str">
        <f t="shared" si="0"/>
        <v/>
      </c>
      <c r="I11" s="33"/>
      <c r="J11" s="33"/>
    </row>
    <row r="12" spans="1:10" x14ac:dyDescent="0.2">
      <c r="A12" s="30">
        <v>11</v>
      </c>
      <c r="B12" s="31">
        <v>3000.99</v>
      </c>
      <c r="C12" s="32">
        <v>570</v>
      </c>
      <c r="D12" s="32">
        <v>275</v>
      </c>
      <c r="E12" s="32">
        <v>165</v>
      </c>
      <c r="F12" s="32">
        <v>145</v>
      </c>
      <c r="G12" s="33"/>
      <c r="H12" s="34" t="str">
        <f t="shared" si="0"/>
        <v/>
      </c>
      <c r="I12" s="33"/>
      <c r="J12" s="33"/>
    </row>
    <row r="13" spans="1:10" x14ac:dyDescent="0.2">
      <c r="A13" s="30">
        <v>12</v>
      </c>
      <c r="B13" s="31">
        <v>3300.99</v>
      </c>
      <c r="C13" s="32">
        <v>630</v>
      </c>
      <c r="D13" s="32">
        <v>335</v>
      </c>
      <c r="E13" s="32">
        <v>210</v>
      </c>
      <c r="F13" s="32">
        <v>160</v>
      </c>
      <c r="G13" s="33"/>
      <c r="H13" s="34" t="str">
        <f t="shared" si="0"/>
        <v/>
      </c>
      <c r="I13" s="33"/>
      <c r="J13" s="33"/>
    </row>
    <row r="14" spans="1:10" x14ac:dyDescent="0.2">
      <c r="A14" s="30">
        <v>13</v>
      </c>
      <c r="B14" s="31">
        <v>3600.99</v>
      </c>
      <c r="C14" s="32">
        <v>725</v>
      </c>
      <c r="D14" s="32">
        <v>410</v>
      </c>
      <c r="E14" s="32">
        <v>260</v>
      </c>
      <c r="F14" s="32">
        <v>175</v>
      </c>
      <c r="G14" s="33"/>
      <c r="H14" s="34" t="str">
        <f t="shared" si="0"/>
        <v/>
      </c>
      <c r="I14" s="33"/>
      <c r="J14" s="33"/>
    </row>
    <row r="15" spans="1:10" x14ac:dyDescent="0.2">
      <c r="A15" s="30">
        <v>14</v>
      </c>
      <c r="B15" s="31">
        <v>3900.99</v>
      </c>
      <c r="C15" s="32">
        <v>825</v>
      </c>
      <c r="D15" s="32">
        <v>485</v>
      </c>
      <c r="E15" s="32">
        <v>320</v>
      </c>
      <c r="F15" s="32">
        <v>190</v>
      </c>
      <c r="G15" s="33"/>
      <c r="H15" s="34" t="str">
        <f t="shared" si="0"/>
        <v/>
      </c>
      <c r="I15" s="33"/>
      <c r="J15" s="33"/>
    </row>
    <row r="16" spans="1:10" x14ac:dyDescent="0.2">
      <c r="A16" s="30">
        <v>15</v>
      </c>
      <c r="B16" s="31">
        <v>4200.99</v>
      </c>
      <c r="C16" s="32">
        <v>932</v>
      </c>
      <c r="D16" s="32">
        <v>560</v>
      </c>
      <c r="E16" s="32">
        <v>380</v>
      </c>
      <c r="F16" s="32">
        <v>205</v>
      </c>
      <c r="G16" s="33"/>
      <c r="H16" s="34" t="str">
        <f t="shared" si="0"/>
        <v/>
      </c>
      <c r="I16" s="33"/>
      <c r="J16" s="33"/>
    </row>
    <row r="17" spans="1:10" x14ac:dyDescent="0.2">
      <c r="A17" s="30">
        <v>16</v>
      </c>
      <c r="B17" s="31">
        <v>4600.99</v>
      </c>
      <c r="C17" s="32">
        <v>1056</v>
      </c>
      <c r="D17" s="32">
        <v>635</v>
      </c>
      <c r="E17" s="32">
        <v>440</v>
      </c>
      <c r="F17" s="32">
        <v>220</v>
      </c>
      <c r="G17" s="33"/>
      <c r="H17" s="34" t="str">
        <f t="shared" si="0"/>
        <v/>
      </c>
      <c r="I17" s="33"/>
      <c r="J17" s="33"/>
    </row>
    <row r="18" spans="1:10" x14ac:dyDescent="0.2">
      <c r="A18" s="30">
        <v>17</v>
      </c>
      <c r="B18" s="31">
        <v>5000.99</v>
      </c>
      <c r="C18" s="32">
        <v>1152</v>
      </c>
      <c r="D18" s="32">
        <v>715</v>
      </c>
      <c r="E18" s="32">
        <v>500</v>
      </c>
      <c r="F18" s="32">
        <v>240</v>
      </c>
      <c r="G18" s="33"/>
      <c r="H18" s="34" t="str">
        <f t="shared" si="0"/>
        <v/>
      </c>
      <c r="I18" s="33"/>
      <c r="J18" s="33"/>
    </row>
    <row r="19" spans="1:10" x14ac:dyDescent="0.2">
      <c r="A19" s="30">
        <v>18</v>
      </c>
      <c r="B19" s="31">
        <v>5500.99</v>
      </c>
      <c r="C19" s="32">
        <v>1313</v>
      </c>
      <c r="D19" s="32">
        <v>790</v>
      </c>
      <c r="E19" s="32">
        <v>555</v>
      </c>
      <c r="F19" s="32">
        <v>265</v>
      </c>
      <c r="G19" s="33"/>
      <c r="H19" s="34" t="str">
        <f t="shared" si="0"/>
        <v/>
      </c>
      <c r="I19" s="33"/>
      <c r="J19" s="33"/>
    </row>
    <row r="20" spans="1:10" x14ac:dyDescent="0.2">
      <c r="A20" s="30">
        <v>19</v>
      </c>
      <c r="B20" s="31">
        <v>6000.99</v>
      </c>
      <c r="C20" s="32">
        <v>1438</v>
      </c>
      <c r="D20" s="32">
        <v>865</v>
      </c>
      <c r="E20" s="32">
        <v>605</v>
      </c>
      <c r="F20" s="32">
        <v>290</v>
      </c>
      <c r="G20" s="33"/>
      <c r="H20" s="34" t="str">
        <f t="shared" si="0"/>
        <v/>
      </c>
      <c r="I20" s="33"/>
      <c r="J20" s="33"/>
    </row>
    <row r="21" spans="1:10" x14ac:dyDescent="0.2">
      <c r="A21" s="30">
        <v>20</v>
      </c>
      <c r="B21" s="31">
        <v>6500.99</v>
      </c>
      <c r="C21" s="32">
        <v>1563</v>
      </c>
      <c r="D21" s="32">
        <v>940</v>
      </c>
      <c r="E21" s="32">
        <v>658</v>
      </c>
      <c r="F21" s="32">
        <v>315</v>
      </c>
      <c r="G21" s="33"/>
      <c r="H21" s="34" t="str">
        <f t="shared" si="0"/>
        <v/>
      </c>
      <c r="I21" s="33"/>
      <c r="J21" s="33"/>
    </row>
    <row r="22" spans="1:10" x14ac:dyDescent="0.2">
      <c r="A22" s="30">
        <v>21</v>
      </c>
      <c r="B22" s="31">
        <v>7000.99</v>
      </c>
      <c r="C22" s="32">
        <v>1688</v>
      </c>
      <c r="D22" s="32">
        <v>1015</v>
      </c>
      <c r="E22" s="32">
        <v>710</v>
      </c>
      <c r="F22" s="32">
        <v>340</v>
      </c>
      <c r="G22" s="33"/>
      <c r="H22" s="34" t="str">
        <f t="shared" si="0"/>
        <v/>
      </c>
      <c r="I22" s="33"/>
      <c r="J22" s="33"/>
    </row>
    <row r="23" spans="1:10" x14ac:dyDescent="0.2">
      <c r="A23" s="30">
        <v>22</v>
      </c>
      <c r="B23" s="31">
        <v>7500.99</v>
      </c>
      <c r="C23" s="32">
        <v>1813</v>
      </c>
      <c r="D23" s="32">
        <v>1090</v>
      </c>
      <c r="E23" s="32">
        <v>763</v>
      </c>
      <c r="F23" s="32">
        <v>365</v>
      </c>
      <c r="G23" s="33"/>
      <c r="H23" s="34" t="str">
        <f t="shared" si="0"/>
        <v/>
      </c>
      <c r="I23" s="33"/>
      <c r="J23" s="33"/>
    </row>
    <row r="24" spans="1:10" x14ac:dyDescent="0.2">
      <c r="A24" s="30">
        <v>23</v>
      </c>
      <c r="B24" s="31">
        <v>8000.99</v>
      </c>
      <c r="C24" s="32">
        <v>1938</v>
      </c>
      <c r="D24" s="32">
        <v>1165</v>
      </c>
      <c r="E24" s="32">
        <v>815</v>
      </c>
      <c r="F24" s="32">
        <v>390</v>
      </c>
      <c r="G24" s="33"/>
      <c r="H24" s="34" t="str">
        <f t="shared" si="0"/>
        <v/>
      </c>
      <c r="I24" s="33"/>
      <c r="J24" s="33"/>
    </row>
    <row r="25" spans="1:10" x14ac:dyDescent="0.2">
      <c r="A25" s="30">
        <v>24</v>
      </c>
      <c r="B25" s="31">
        <v>8500.99</v>
      </c>
      <c r="C25" s="32">
        <v>2063</v>
      </c>
      <c r="D25" s="32">
        <v>1240</v>
      </c>
      <c r="E25" s="32">
        <v>868</v>
      </c>
      <c r="F25" s="32">
        <v>415</v>
      </c>
      <c r="G25" s="33"/>
      <c r="H25" s="34" t="str">
        <f t="shared" si="0"/>
        <v/>
      </c>
      <c r="I25" s="33"/>
      <c r="J25" s="33"/>
    </row>
    <row r="26" spans="1:10" x14ac:dyDescent="0.2">
      <c r="A26" s="30">
        <v>25</v>
      </c>
      <c r="B26" s="31">
        <v>9000.99</v>
      </c>
      <c r="C26" s="32">
        <v>2188</v>
      </c>
      <c r="D26" s="32">
        <v>1315</v>
      </c>
      <c r="E26" s="32">
        <v>920</v>
      </c>
      <c r="F26" s="32">
        <v>440</v>
      </c>
      <c r="G26" s="33"/>
      <c r="H26" s="34" t="str">
        <f t="shared" si="0"/>
        <v/>
      </c>
      <c r="I26" s="33"/>
      <c r="J26" s="33"/>
    </row>
    <row r="27" spans="1:10" x14ac:dyDescent="0.2">
      <c r="A27" s="30">
        <v>26</v>
      </c>
      <c r="B27" s="31">
        <v>9500.99</v>
      </c>
      <c r="C27" s="32">
        <v>2313</v>
      </c>
      <c r="D27" s="32">
        <v>1390</v>
      </c>
      <c r="E27" s="32">
        <v>973</v>
      </c>
      <c r="F27" s="32">
        <v>465</v>
      </c>
      <c r="G27" s="33"/>
      <c r="H27" s="34" t="str">
        <f t="shared" si="0"/>
        <v/>
      </c>
      <c r="I27" s="33"/>
      <c r="J27" s="33"/>
    </row>
    <row r="28" spans="1:10" x14ac:dyDescent="0.2">
      <c r="A28" s="30">
        <v>27</v>
      </c>
      <c r="B28" s="31">
        <v>10000.99</v>
      </c>
      <c r="C28" s="32">
        <v>2438</v>
      </c>
      <c r="D28" s="32">
        <v>1465</v>
      </c>
      <c r="E28" s="32">
        <v>1025</v>
      </c>
      <c r="F28" s="32">
        <v>490</v>
      </c>
      <c r="G28" s="33"/>
      <c r="H28" s="34" t="str">
        <f t="shared" si="0"/>
        <v/>
      </c>
      <c r="I28" s="33"/>
      <c r="J28" s="33"/>
    </row>
    <row r="29" spans="1:10" x14ac:dyDescent="0.2">
      <c r="A29" s="30">
        <v>28</v>
      </c>
      <c r="B29" s="31">
        <v>999999.99</v>
      </c>
      <c r="C29" s="32">
        <f>25%*C31</f>
        <v>0</v>
      </c>
      <c r="D29" s="32">
        <f>15%*C31</f>
        <v>0</v>
      </c>
      <c r="E29" s="32">
        <f>10%*C31</f>
        <v>0</v>
      </c>
      <c r="F29" s="32">
        <f>5%*C31</f>
        <v>0</v>
      </c>
      <c r="G29" s="33"/>
      <c r="H29" s="34" t="str">
        <f t="shared" si="0"/>
        <v/>
      </c>
      <c r="I29" s="33"/>
      <c r="J29" s="33"/>
    </row>
    <row r="30" spans="1:10" x14ac:dyDescent="0.2">
      <c r="A30" s="35"/>
      <c r="B30" s="36"/>
      <c r="C30" s="37"/>
      <c r="D30" s="37"/>
      <c r="E30" s="37"/>
      <c r="F30" s="37"/>
      <c r="G30" s="33"/>
      <c r="H30" s="38"/>
      <c r="I30" s="33"/>
      <c r="J30" s="33"/>
    </row>
    <row r="31" spans="1:10" x14ac:dyDescent="0.2">
      <c r="A31" s="33"/>
      <c r="B31" s="39" t="s">
        <v>186</v>
      </c>
      <c r="C31" s="40">
        <f>Hauptberechnung!U97</f>
        <v>0</v>
      </c>
      <c r="D31" s="41"/>
      <c r="E31" s="41"/>
      <c r="F31" s="41"/>
      <c r="G31" s="33"/>
      <c r="H31" s="33"/>
      <c r="I31" s="33"/>
      <c r="J31" s="33"/>
    </row>
    <row r="32" spans="1:10" x14ac:dyDescent="0.2">
      <c r="A32" s="33"/>
      <c r="B32" s="39" t="s">
        <v>187</v>
      </c>
      <c r="C32" s="33">
        <f>MAX(H2:H29)</f>
        <v>1</v>
      </c>
      <c r="D32" s="39" t="str">
        <f>IF($C$31&gt;B28,"über " &amp; B28 &amp; " EUR",IF($C$31&lt;=B2,0,VLOOKUP(C32-1,A2:B29,2)+0.01) &amp; " EUR bis " &amp; VLOOKUP(C32,A2:B29,2) &amp; " EUR")</f>
        <v>0 EUR bis 1100,99 EUR</v>
      </c>
      <c r="E32" s="42"/>
      <c r="F32" s="33">
        <f>MAX(H2:H29)</f>
        <v>1</v>
      </c>
      <c r="G32" s="33"/>
      <c r="H32" s="33"/>
      <c r="I32" s="33"/>
      <c r="J32" s="33"/>
    </row>
    <row r="33" spans="1:10" x14ac:dyDescent="0.2">
      <c r="A33" s="399" t="s">
        <v>399</v>
      </c>
      <c r="B33" s="400" t="s">
        <v>188</v>
      </c>
      <c r="C33" s="33">
        <f>AnzahlUHBerechtigte</f>
        <v>0</v>
      </c>
      <c r="D33" s="41"/>
      <c r="E33" s="41"/>
      <c r="F33" s="41"/>
      <c r="G33" s="33"/>
      <c r="H33" s="33"/>
      <c r="I33" s="33"/>
      <c r="J33" s="33"/>
    </row>
    <row r="34" spans="1:10" x14ac:dyDescent="0.2">
      <c r="A34" s="399">
        <v>1</v>
      </c>
      <c r="B34" s="401" t="s">
        <v>400</v>
      </c>
      <c r="C34" s="399">
        <f>IF($C$33&gt;=A34,IF(AND(C32&gt;=2,C32&lt;=6)=TRUE,C32-2,C32-1),$C$32)</f>
        <v>1</v>
      </c>
      <c r="D34" s="41"/>
      <c r="E34" s="41"/>
      <c r="F34" s="41"/>
      <c r="G34" s="33"/>
      <c r="H34" s="33"/>
      <c r="I34" s="33"/>
      <c r="J34" s="33"/>
    </row>
    <row r="35" spans="1:10" x14ac:dyDescent="0.2">
      <c r="A35" s="399">
        <v>2</v>
      </c>
      <c r="B35" s="401" t="s">
        <v>401</v>
      </c>
      <c r="C35" s="399">
        <f>IF($C$33&gt;=A35,IF(AND(C34&gt;=2,C34&lt;=6)=TRUE,C34-2,C34-1),C34)</f>
        <v>1</v>
      </c>
      <c r="D35" s="41"/>
      <c r="E35" s="41"/>
      <c r="F35" s="41"/>
      <c r="G35" s="33"/>
      <c r="H35" s="33"/>
      <c r="I35" s="33"/>
      <c r="J35" s="33"/>
    </row>
    <row r="36" spans="1:10" x14ac:dyDescent="0.2">
      <c r="A36" s="399">
        <v>3</v>
      </c>
      <c r="B36" s="401" t="s">
        <v>402</v>
      </c>
      <c r="C36" s="399">
        <f t="shared" ref="C36:C42" si="1">IF($C$33&gt;=A36,IF(AND(C35&gt;=2,C35&lt;=6)=TRUE,C35-2,C35-1),C35)</f>
        <v>1</v>
      </c>
      <c r="D36" s="41"/>
      <c r="E36" s="41"/>
      <c r="F36" s="41"/>
      <c r="G36" s="33"/>
      <c r="H36" s="33"/>
      <c r="I36" s="33"/>
      <c r="J36" s="33"/>
    </row>
    <row r="37" spans="1:10" x14ac:dyDescent="0.2">
      <c r="A37" s="399">
        <v>4</v>
      </c>
      <c r="B37" s="401" t="s">
        <v>403</v>
      </c>
      <c r="C37" s="399">
        <f t="shared" si="1"/>
        <v>1</v>
      </c>
      <c r="D37" s="41"/>
      <c r="E37" s="41"/>
      <c r="F37" s="41"/>
      <c r="G37" s="33"/>
      <c r="H37" s="33"/>
      <c r="I37" s="33"/>
      <c r="J37" s="33"/>
    </row>
    <row r="38" spans="1:10" x14ac:dyDescent="0.2">
      <c r="A38" s="399">
        <v>5</v>
      </c>
      <c r="B38" s="401" t="s">
        <v>404</v>
      </c>
      <c r="C38" s="399">
        <f t="shared" si="1"/>
        <v>1</v>
      </c>
      <c r="D38" s="41"/>
      <c r="E38" s="41"/>
      <c r="F38" s="41"/>
      <c r="G38" s="33"/>
      <c r="H38" s="33"/>
      <c r="I38" s="33"/>
      <c r="J38" s="33"/>
    </row>
    <row r="39" spans="1:10" x14ac:dyDescent="0.2">
      <c r="A39" s="399">
        <v>6</v>
      </c>
      <c r="B39" s="401" t="s">
        <v>405</v>
      </c>
      <c r="C39" s="399">
        <f t="shared" si="1"/>
        <v>1</v>
      </c>
      <c r="D39" s="41"/>
      <c r="E39" s="41"/>
      <c r="F39" s="41"/>
      <c r="G39" s="33"/>
      <c r="H39" s="33"/>
      <c r="I39" s="33"/>
      <c r="J39" s="33"/>
    </row>
    <row r="40" spans="1:10" x14ac:dyDescent="0.2">
      <c r="A40" s="399">
        <v>7</v>
      </c>
      <c r="B40" s="401" t="s">
        <v>406</v>
      </c>
      <c r="C40" s="399">
        <f t="shared" si="1"/>
        <v>1</v>
      </c>
      <c r="D40" s="41"/>
      <c r="E40" s="41"/>
      <c r="F40" s="41"/>
      <c r="G40" s="33"/>
      <c r="H40" s="33"/>
      <c r="I40" s="33"/>
      <c r="J40" s="33"/>
    </row>
    <row r="41" spans="1:10" x14ac:dyDescent="0.2">
      <c r="A41" s="399">
        <v>8</v>
      </c>
      <c r="B41" s="401" t="s">
        <v>407</v>
      </c>
      <c r="C41" s="399">
        <f t="shared" si="1"/>
        <v>1</v>
      </c>
      <c r="D41" s="41"/>
      <c r="E41" s="41"/>
      <c r="F41" s="41"/>
      <c r="G41" s="33"/>
      <c r="H41" s="33"/>
      <c r="I41" s="33"/>
      <c r="J41" s="33"/>
    </row>
    <row r="42" spans="1:10" x14ac:dyDescent="0.2">
      <c r="A42" s="399">
        <v>9</v>
      </c>
      <c r="B42" s="401" t="s">
        <v>408</v>
      </c>
      <c r="C42" s="399">
        <f t="shared" si="1"/>
        <v>1</v>
      </c>
      <c r="D42" s="41"/>
      <c r="E42" s="41"/>
      <c r="F42" s="41"/>
      <c r="G42" s="33"/>
      <c r="H42" s="33"/>
      <c r="I42" s="33"/>
      <c r="J42" s="33"/>
    </row>
    <row r="43" spans="1:10" x14ac:dyDescent="0.2">
      <c r="A43" s="33"/>
      <c r="B43" s="39"/>
      <c r="C43" s="33"/>
      <c r="D43" s="41"/>
      <c r="E43" s="41"/>
      <c r="F43" s="41"/>
      <c r="G43" s="33"/>
      <c r="H43" s="33"/>
      <c r="I43" s="33"/>
      <c r="J43" s="33"/>
    </row>
    <row r="44" spans="1:10" x14ac:dyDescent="0.2">
      <c r="A44" s="33"/>
      <c r="B44" s="39" t="s">
        <v>189</v>
      </c>
      <c r="C44" s="33">
        <f>IF(AND(DATEDIF(GebDatJM,KBZeitraumVon,"D")&gt;=6574,D44&gt;13)=TRUE,13,IF(D44&lt;1,1,IF(OR(D44=2,D44=3)=TRUE,1,IF(D44=4,2,D44))))</f>
        <v>1</v>
      </c>
      <c r="D44" s="43">
        <f>IF(AnzahlUHBerechtigte=0,C32,VLOOKUP(C33,A34:C42,3,FALSE))</f>
        <v>1</v>
      </c>
      <c r="E44" s="33"/>
      <c r="F44" s="41"/>
      <c r="G44" s="33"/>
      <c r="H44" s="33"/>
      <c r="I44" s="33"/>
      <c r="J44" s="33"/>
    </row>
    <row r="45" spans="1:10" x14ac:dyDescent="0.2">
      <c r="A45" s="33"/>
      <c r="B45" s="39" t="s">
        <v>179</v>
      </c>
      <c r="C45" s="33" t="e">
        <f>VLOOKUP(Dropdown_BetreutePerson,Dropdownfelder!A27:D30,4,FALSE)</f>
        <v>#N/A</v>
      </c>
      <c r="D45" s="43"/>
      <c r="E45" s="33"/>
      <c r="F45" s="41"/>
      <c r="G45" s="33"/>
      <c r="H45" s="33"/>
      <c r="I45" s="33"/>
      <c r="J45" s="33"/>
    </row>
    <row r="46" spans="1:10" x14ac:dyDescent="0.2">
      <c r="A46" s="33"/>
      <c r="B46" s="39"/>
      <c r="C46" s="352">
        <v>1</v>
      </c>
      <c r="D46" s="352">
        <v>2</v>
      </c>
      <c r="E46" s="352">
        <v>3</v>
      </c>
      <c r="F46" s="352">
        <v>4</v>
      </c>
      <c r="G46" s="33"/>
      <c r="H46" s="33"/>
      <c r="I46" s="33"/>
      <c r="J46" s="33"/>
    </row>
    <row r="47" spans="1:10" x14ac:dyDescent="0.2">
      <c r="A47" s="33"/>
      <c r="B47" s="39" t="s">
        <v>190</v>
      </c>
      <c r="C47" s="353">
        <f>VLOOKUP(C44,A2:F29,3)</f>
        <v>0</v>
      </c>
      <c r="D47" s="353">
        <f>VLOOKUP(C44,A2:F29,4)</f>
        <v>0</v>
      </c>
      <c r="E47" s="353">
        <f>VLOOKUP(C44,A2:F29,5)</f>
        <v>0</v>
      </c>
      <c r="F47" s="353">
        <f>VLOOKUP(C44,A2:F29,6)</f>
        <v>0</v>
      </c>
      <c r="G47" s="33"/>
      <c r="H47" s="33"/>
      <c r="I47" s="33"/>
      <c r="J47" s="33"/>
    </row>
    <row r="48" spans="1:10" x14ac:dyDescent="0.2">
      <c r="A48" s="33"/>
      <c r="B48" s="39"/>
      <c r="C48" s="41"/>
      <c r="D48" s="41"/>
      <c r="E48" s="41"/>
      <c r="F48" s="41"/>
      <c r="G48" s="33"/>
      <c r="H48" s="33"/>
      <c r="I48" s="33"/>
      <c r="J48" s="33"/>
    </row>
    <row r="50" spans="2:3" x14ac:dyDescent="0.2">
      <c r="B50" t="s">
        <v>244</v>
      </c>
      <c r="C50" s="20">
        <v>0.3</v>
      </c>
    </row>
    <row r="51" spans="2:3" x14ac:dyDescent="0.2">
      <c r="B51" t="s">
        <v>245</v>
      </c>
      <c r="C51" s="20">
        <v>0.3</v>
      </c>
    </row>
  </sheetData>
  <phoneticPr fontId="39" type="noConversion"/>
  <pageMargins left="0.7" right="0.7" top="0.78740157499999996" bottom="0.78740157499999996" header="0.3" footer="0.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8"/>
  </sheetPr>
  <dimension ref="A1:O53"/>
  <sheetViews>
    <sheetView workbookViewId="0">
      <pane ySplit="1" topLeftCell="A17" activePane="bottomLeft" state="frozenSplit"/>
      <selection activeCell="K9" sqref="K9:M9"/>
      <selection pane="bottomLeft" activeCell="D40" sqref="D40"/>
    </sheetView>
  </sheetViews>
  <sheetFormatPr baseColWidth="10" defaultRowHeight="11.25" x14ac:dyDescent="0.2"/>
  <cols>
    <col min="1" max="1" width="6.85546875" style="137" bestFit="1" customWidth="1"/>
    <col min="2" max="2" width="30.5703125" style="134" bestFit="1" customWidth="1"/>
    <col min="3" max="6" width="13" style="135" bestFit="1" customWidth="1"/>
    <col min="7" max="7" width="13.85546875" style="135" customWidth="1"/>
    <col min="8" max="8" width="11.42578125" style="137"/>
    <col min="9" max="9" width="18.7109375" style="137" customWidth="1"/>
    <col min="10" max="16384" width="11.42578125" style="137"/>
  </cols>
  <sheetData>
    <row r="1" spans="1:9" s="113" customFormat="1" ht="22.5" x14ac:dyDescent="0.2">
      <c r="A1" s="110" t="s">
        <v>180</v>
      </c>
      <c r="B1" s="110" t="s">
        <v>63</v>
      </c>
      <c r="C1" s="111" t="s">
        <v>64</v>
      </c>
      <c r="D1" s="111" t="s">
        <v>65</v>
      </c>
      <c r="E1" s="111" t="s">
        <v>66</v>
      </c>
      <c r="F1" s="111" t="s">
        <v>67</v>
      </c>
      <c r="G1" s="112"/>
      <c r="I1" s="114" t="s">
        <v>185</v>
      </c>
    </row>
    <row r="2" spans="1:9" s="119" customFormat="1" ht="14.1" customHeight="1" x14ac:dyDescent="0.2">
      <c r="A2" s="115">
        <v>1</v>
      </c>
      <c r="B2" s="116">
        <v>1500</v>
      </c>
      <c r="C2" s="117">
        <v>335</v>
      </c>
      <c r="D2" s="117">
        <v>384</v>
      </c>
      <c r="E2" s="117">
        <v>450</v>
      </c>
      <c r="F2" s="117">
        <v>516</v>
      </c>
      <c r="G2" s="118"/>
      <c r="I2" s="120">
        <f>IF($C$17&lt;=B2,A2,"")</f>
        <v>1</v>
      </c>
    </row>
    <row r="3" spans="1:9" s="119" customFormat="1" ht="14.1" customHeight="1" x14ac:dyDescent="0.2">
      <c r="A3" s="115">
        <v>2</v>
      </c>
      <c r="B3" s="116">
        <v>1900</v>
      </c>
      <c r="C3" s="117">
        <v>352</v>
      </c>
      <c r="D3" s="117">
        <v>404</v>
      </c>
      <c r="E3" s="117">
        <v>473</v>
      </c>
      <c r="F3" s="117">
        <v>542</v>
      </c>
      <c r="G3" s="118"/>
      <c r="I3" s="120" t="str">
        <f t="shared" ref="I3:I12" si="0">IF(AND($C$17&lt;=B3,$C$17&gt;B2)=TRUE,A3,"")</f>
        <v/>
      </c>
    </row>
    <row r="4" spans="1:9" s="119" customFormat="1" ht="14.1" customHeight="1" x14ac:dyDescent="0.2">
      <c r="A4" s="115">
        <v>3</v>
      </c>
      <c r="B4" s="116">
        <v>2300</v>
      </c>
      <c r="C4" s="117">
        <v>369</v>
      </c>
      <c r="D4" s="117">
        <v>423</v>
      </c>
      <c r="E4" s="117">
        <v>495</v>
      </c>
      <c r="F4" s="117">
        <v>568</v>
      </c>
      <c r="G4" s="118"/>
      <c r="I4" s="120" t="str">
        <f t="shared" si="0"/>
        <v/>
      </c>
    </row>
    <row r="5" spans="1:9" s="119" customFormat="1" ht="14.1" customHeight="1" x14ac:dyDescent="0.2">
      <c r="A5" s="115">
        <v>4</v>
      </c>
      <c r="B5" s="116">
        <v>2700</v>
      </c>
      <c r="C5" s="117">
        <v>386</v>
      </c>
      <c r="D5" s="117">
        <v>442</v>
      </c>
      <c r="E5" s="117">
        <v>518</v>
      </c>
      <c r="F5" s="117">
        <v>594</v>
      </c>
      <c r="G5" s="118"/>
      <c r="I5" s="120" t="str">
        <f t="shared" si="0"/>
        <v/>
      </c>
    </row>
    <row r="6" spans="1:9" s="119" customFormat="1" ht="14.1" customHeight="1" x14ac:dyDescent="0.2">
      <c r="A6" s="115">
        <v>5</v>
      </c>
      <c r="B6" s="116">
        <v>3100</v>
      </c>
      <c r="C6" s="117">
        <v>402</v>
      </c>
      <c r="D6" s="117">
        <v>461</v>
      </c>
      <c r="E6" s="117">
        <v>540</v>
      </c>
      <c r="F6" s="117">
        <v>620</v>
      </c>
      <c r="G6" s="118"/>
      <c r="I6" s="120" t="str">
        <f t="shared" si="0"/>
        <v/>
      </c>
    </row>
    <row r="7" spans="1:9" s="119" customFormat="1" ht="14.1" customHeight="1" x14ac:dyDescent="0.2">
      <c r="A7" s="115">
        <v>6</v>
      </c>
      <c r="B7" s="116">
        <v>3500</v>
      </c>
      <c r="C7" s="117">
        <v>429</v>
      </c>
      <c r="D7" s="117">
        <v>492</v>
      </c>
      <c r="E7" s="117">
        <v>576</v>
      </c>
      <c r="F7" s="117">
        <v>661</v>
      </c>
      <c r="G7" s="118"/>
      <c r="I7" s="120" t="str">
        <f t="shared" si="0"/>
        <v/>
      </c>
    </row>
    <row r="8" spans="1:9" s="119" customFormat="1" ht="14.1" customHeight="1" x14ac:dyDescent="0.2">
      <c r="A8" s="115">
        <v>7</v>
      </c>
      <c r="B8" s="116">
        <v>3900</v>
      </c>
      <c r="C8" s="117">
        <v>456</v>
      </c>
      <c r="D8" s="117">
        <v>523</v>
      </c>
      <c r="E8" s="117">
        <v>612</v>
      </c>
      <c r="F8" s="117">
        <v>702</v>
      </c>
      <c r="G8" s="118"/>
      <c r="I8" s="120" t="str">
        <f t="shared" si="0"/>
        <v/>
      </c>
    </row>
    <row r="9" spans="1:9" s="119" customFormat="1" ht="14.1" customHeight="1" x14ac:dyDescent="0.2">
      <c r="A9" s="115">
        <v>8</v>
      </c>
      <c r="B9" s="116">
        <v>4300</v>
      </c>
      <c r="C9" s="117">
        <v>483</v>
      </c>
      <c r="D9" s="117">
        <v>553</v>
      </c>
      <c r="E9" s="117">
        <v>648</v>
      </c>
      <c r="F9" s="117">
        <v>744</v>
      </c>
      <c r="G9" s="118"/>
      <c r="I9" s="120" t="str">
        <f t="shared" si="0"/>
        <v/>
      </c>
    </row>
    <row r="10" spans="1:9" s="119" customFormat="1" ht="14.1" customHeight="1" x14ac:dyDescent="0.2">
      <c r="A10" s="115">
        <v>9</v>
      </c>
      <c r="B10" s="116">
        <v>4700</v>
      </c>
      <c r="C10" s="117">
        <v>510</v>
      </c>
      <c r="D10" s="117">
        <v>584</v>
      </c>
      <c r="E10" s="117">
        <v>684</v>
      </c>
      <c r="F10" s="117">
        <v>785</v>
      </c>
      <c r="G10" s="118"/>
      <c r="I10" s="120" t="str">
        <f t="shared" si="0"/>
        <v/>
      </c>
    </row>
    <row r="11" spans="1:9" s="119" customFormat="1" ht="14.1" customHeight="1" x14ac:dyDescent="0.2">
      <c r="A11" s="115">
        <v>10</v>
      </c>
      <c r="B11" s="116">
        <v>5100</v>
      </c>
      <c r="C11" s="117">
        <v>536</v>
      </c>
      <c r="D11" s="117">
        <v>615</v>
      </c>
      <c r="E11" s="117">
        <v>720</v>
      </c>
      <c r="F11" s="117">
        <v>826</v>
      </c>
      <c r="G11" s="118"/>
      <c r="I11" s="120" t="str">
        <f t="shared" si="0"/>
        <v/>
      </c>
    </row>
    <row r="12" spans="1:9" s="119" customFormat="1" ht="14.1" customHeight="1" x14ac:dyDescent="0.2">
      <c r="A12" s="115">
        <v>11</v>
      </c>
      <c r="B12" s="121">
        <v>999999</v>
      </c>
      <c r="C12" s="118" t="s">
        <v>68</v>
      </c>
      <c r="D12" s="118" t="s">
        <v>68</v>
      </c>
      <c r="E12" s="118" t="s">
        <v>68</v>
      </c>
      <c r="F12" s="118" t="s">
        <v>68</v>
      </c>
      <c r="G12" s="118"/>
      <c r="I12" s="120" t="str">
        <f t="shared" si="0"/>
        <v/>
      </c>
    </row>
    <row r="13" spans="1:9" s="119" customFormat="1" ht="14.1" customHeight="1" x14ac:dyDescent="0.2">
      <c r="A13" s="122"/>
      <c r="B13" s="123"/>
      <c r="C13" s="124"/>
      <c r="D13" s="124"/>
      <c r="E13" s="124"/>
      <c r="F13" s="124"/>
      <c r="G13" s="124"/>
      <c r="I13" s="125"/>
    </row>
    <row r="14" spans="1:9" s="119" customFormat="1" ht="14.1" customHeight="1" x14ac:dyDescent="0.2">
      <c r="A14" s="122"/>
      <c r="B14" s="123"/>
      <c r="C14" s="124"/>
      <c r="D14" s="124"/>
      <c r="E14" s="124"/>
      <c r="F14" s="124"/>
      <c r="G14" s="124"/>
      <c r="I14" s="125"/>
    </row>
    <row r="15" spans="1:9" s="119" customFormat="1" ht="14.1" customHeight="1" x14ac:dyDescent="0.2">
      <c r="A15" s="122"/>
      <c r="B15" s="123"/>
      <c r="C15" s="124"/>
      <c r="D15" s="124"/>
      <c r="E15" s="124"/>
      <c r="F15" s="124"/>
      <c r="G15" s="124"/>
      <c r="I15" s="125"/>
    </row>
    <row r="16" spans="1:9" s="119" customFormat="1" ht="14.1" customHeight="1" x14ac:dyDescent="0.2">
      <c r="A16" s="122"/>
      <c r="B16" s="123"/>
      <c r="C16" s="124"/>
      <c r="D16" s="124"/>
      <c r="E16" s="124"/>
      <c r="F16" s="124"/>
      <c r="G16" s="124"/>
      <c r="I16" s="125"/>
    </row>
    <row r="17" spans="2:15" s="119" customFormat="1" ht="14.1" customHeight="1" x14ac:dyDescent="0.2">
      <c r="B17" s="126" t="s">
        <v>186</v>
      </c>
      <c r="C17" s="127">
        <f>Schmälerungsverbot!U73</f>
        <v>0</v>
      </c>
      <c r="D17" s="128"/>
      <c r="E17" s="128"/>
      <c r="F17" s="128"/>
      <c r="G17" s="128"/>
    </row>
    <row r="18" spans="2:15" s="119" customFormat="1" ht="14.1" customHeight="1" x14ac:dyDescent="0.2">
      <c r="B18" s="126" t="s">
        <v>187</v>
      </c>
      <c r="C18" s="119">
        <f>MAX(I2:I12)</f>
        <v>1</v>
      </c>
      <c r="D18" s="126" t="str">
        <f>IF($C$17&gt;B11,"über " &amp; B11 &amp; ",00 €",IF($C$17&lt;=B2,0,VLOOKUP(C18-1,A2:B12,2)+1) &amp; " - " &amp; VLOOKUP(C18,A2:B12,2) &amp; " €")</f>
        <v>0 - 1500 €</v>
      </c>
      <c r="E18" s="129"/>
      <c r="G18" s="129"/>
    </row>
    <row r="19" spans="2:15" s="119" customFormat="1" ht="14.1" customHeight="1" x14ac:dyDescent="0.2">
      <c r="B19" s="126" t="s">
        <v>69</v>
      </c>
      <c r="C19" s="119">
        <f>Schmälerungsverbot!I77</f>
        <v>0</v>
      </c>
      <c r="D19" s="128"/>
      <c r="E19" s="128"/>
      <c r="F19" s="128"/>
      <c r="G19" s="128"/>
    </row>
    <row r="20" spans="2:15" s="119" customFormat="1" ht="14.1" customHeight="1" x14ac:dyDescent="0.2">
      <c r="B20" s="126" t="s">
        <v>189</v>
      </c>
      <c r="C20" s="119">
        <f>Schmälerungsverbot!N80</f>
        <v>0</v>
      </c>
      <c r="D20" s="130"/>
      <c r="F20" s="128"/>
      <c r="G20" s="128"/>
    </row>
    <row r="21" spans="2:15" s="119" customFormat="1" ht="14.1" customHeight="1" x14ac:dyDescent="0.2">
      <c r="B21" s="126" t="s">
        <v>70</v>
      </c>
      <c r="C21" s="118" t="e">
        <f>VLOOKUP($C$20,A2:G12,3)</f>
        <v>#N/A</v>
      </c>
      <c r="D21" s="118" t="e">
        <f>VLOOKUP($C$20,A2:G12,4)</f>
        <v>#N/A</v>
      </c>
      <c r="E21" s="118" t="e">
        <f>VLOOKUP($C$20,A2:G12,5)</f>
        <v>#N/A</v>
      </c>
      <c r="F21" s="118" t="e">
        <f>VLOOKUP($C$20,A2:G12,6)</f>
        <v>#N/A</v>
      </c>
      <c r="G21" s="118"/>
    </row>
    <row r="22" spans="2:15" s="119" customFormat="1" ht="15.95" customHeight="1" x14ac:dyDescent="0.2">
      <c r="B22" s="126"/>
      <c r="C22" s="128"/>
      <c r="D22" s="128"/>
      <c r="E22" s="128"/>
      <c r="F22" s="128"/>
      <c r="G22" s="128"/>
      <c r="H22" s="131"/>
      <c r="I22" s="131"/>
      <c r="J22" s="131"/>
      <c r="K22" s="131"/>
      <c r="L22" s="131"/>
      <c r="M22" s="131"/>
      <c r="N22" s="131"/>
      <c r="O22" s="131"/>
    </row>
    <row r="23" spans="2:15" s="119" customFormat="1" x14ac:dyDescent="0.2">
      <c r="B23" s="126"/>
      <c r="C23" s="119" t="s">
        <v>71</v>
      </c>
      <c r="D23" s="119" t="s">
        <v>72</v>
      </c>
      <c r="E23" s="128" t="s">
        <v>73</v>
      </c>
      <c r="F23" s="128"/>
    </row>
    <row r="24" spans="2:15" s="119" customFormat="1" x14ac:dyDescent="0.2">
      <c r="B24" s="126" t="s">
        <v>74</v>
      </c>
      <c r="C24" s="119" t="str">
        <f>IF(Schmälerungsverbot!GebDatW1&lt;&gt;"",KBZeitraumVon-Schmälerungsverbot!GebDatW1,"")</f>
        <v/>
      </c>
      <c r="D24" s="119" t="str">
        <f t="shared" ref="D24:D33" si="1">IF(C24&lt;&gt;"",IF(C24&gt;=6574,4,IF(C24&gt;4382,3,IF(C24&gt;2191,2,1))),"")</f>
        <v/>
      </c>
      <c r="E24" s="124">
        <f t="shared" ref="E24:E33" si="2">IF(D24=1,$C$21,IF(D24=2,$D$21,IF(D24=3,$E$21,IF(D24=4,$F$21,0))))</f>
        <v>0</v>
      </c>
      <c r="F24" s="128"/>
      <c r="G24" s="129"/>
      <c r="J24" s="132"/>
      <c r="K24" s="132"/>
      <c r="L24" s="132"/>
    </row>
    <row r="25" spans="2:15" s="119" customFormat="1" x14ac:dyDescent="0.2">
      <c r="B25" s="126" t="s">
        <v>75</v>
      </c>
      <c r="C25" s="119" t="str">
        <f>IF(Schmälerungsverbot!GebDatW2&lt;&gt;"",KBZeitraumVon-Schmälerungsverbot!GebDatW2,"")</f>
        <v/>
      </c>
      <c r="D25" s="119" t="str">
        <f t="shared" si="1"/>
        <v/>
      </c>
      <c r="E25" s="124">
        <f t="shared" si="2"/>
        <v>0</v>
      </c>
      <c r="F25" s="128"/>
      <c r="G25" s="129"/>
      <c r="J25" s="132"/>
      <c r="K25" s="132"/>
      <c r="L25" s="132"/>
    </row>
    <row r="26" spans="2:15" s="119" customFormat="1" x14ac:dyDescent="0.2">
      <c r="B26" s="126" t="s">
        <v>76</v>
      </c>
      <c r="C26" s="119" t="str">
        <f>IF(Schmälerungsverbot!GebDatW3&lt;&gt;"",KBZeitraumVon-Schmälerungsverbot!GebDatW3,"")</f>
        <v/>
      </c>
      <c r="D26" s="119" t="str">
        <f t="shared" si="1"/>
        <v/>
      </c>
      <c r="E26" s="124">
        <f t="shared" si="2"/>
        <v>0</v>
      </c>
      <c r="F26" s="128"/>
      <c r="G26" s="133"/>
      <c r="J26" s="132"/>
      <c r="K26" s="132"/>
      <c r="L26" s="132"/>
    </row>
    <row r="27" spans="2:15" s="119" customFormat="1" x14ac:dyDescent="0.2">
      <c r="B27" s="126" t="s">
        <v>77</v>
      </c>
      <c r="C27" s="119" t="str">
        <f>IF(Schmälerungsverbot!GebDatW4&lt;&gt;"",KBZeitraumVon-Schmälerungsverbot!GebDatW4,"")</f>
        <v/>
      </c>
      <c r="D27" s="119" t="str">
        <f t="shared" si="1"/>
        <v/>
      </c>
      <c r="E27" s="124">
        <f t="shared" si="2"/>
        <v>0</v>
      </c>
      <c r="F27" s="128"/>
      <c r="G27" s="133"/>
      <c r="J27" s="132"/>
      <c r="K27" s="132"/>
      <c r="L27" s="132"/>
    </row>
    <row r="28" spans="2:15" s="119" customFormat="1" x14ac:dyDescent="0.2">
      <c r="B28" s="126" t="s">
        <v>78</v>
      </c>
      <c r="C28" s="119" t="str">
        <f>IF(Schmälerungsverbot!GebDatW5&lt;&gt;"",KBZeitraumVon-Schmälerungsverbot!GebDatW5,"")</f>
        <v/>
      </c>
      <c r="D28" s="119" t="str">
        <f t="shared" si="1"/>
        <v/>
      </c>
      <c r="E28" s="124">
        <f t="shared" si="2"/>
        <v>0</v>
      </c>
      <c r="F28" s="128"/>
      <c r="G28" s="133"/>
      <c r="J28" s="132"/>
      <c r="K28" s="132"/>
      <c r="L28" s="132"/>
    </row>
    <row r="29" spans="2:15" s="119" customFormat="1" x14ac:dyDescent="0.2">
      <c r="B29" s="126" t="s">
        <v>79</v>
      </c>
      <c r="C29" s="119" t="str">
        <f>IF(Schmälerungsverbot!GebDatW6&lt;&gt;"",KBZeitraumVon-Schmälerungsverbot!GebDatW6,"")</f>
        <v/>
      </c>
      <c r="D29" s="119" t="str">
        <f t="shared" si="1"/>
        <v/>
      </c>
      <c r="E29" s="124">
        <f t="shared" si="2"/>
        <v>0</v>
      </c>
      <c r="F29" s="128"/>
      <c r="G29" s="133"/>
      <c r="J29" s="132"/>
      <c r="K29" s="132"/>
      <c r="L29" s="132"/>
    </row>
    <row r="30" spans="2:15" s="119" customFormat="1" x14ac:dyDescent="0.2">
      <c r="B30" s="126" t="s">
        <v>80</v>
      </c>
      <c r="C30" s="119" t="str">
        <f>IF(Schmälerungsverbot!GebDatW7&lt;&gt;"",KBZeitraumVon-Schmälerungsverbot!GebDatW7,"")</f>
        <v/>
      </c>
      <c r="D30" s="119" t="str">
        <f t="shared" si="1"/>
        <v/>
      </c>
      <c r="E30" s="124">
        <f t="shared" si="2"/>
        <v>0</v>
      </c>
      <c r="F30" s="128"/>
      <c r="G30" s="133"/>
      <c r="J30" s="132"/>
      <c r="K30" s="132"/>
      <c r="L30" s="132"/>
    </row>
    <row r="31" spans="2:15" s="119" customFormat="1" x14ac:dyDescent="0.2">
      <c r="B31" s="126" t="s">
        <v>81</v>
      </c>
      <c r="C31" s="119" t="str">
        <f>IF(Schmälerungsverbot!GebDatW8&lt;&gt;"",KBZeitraumVon-Schmälerungsverbot!GebDatW8,"")</f>
        <v/>
      </c>
      <c r="D31" s="119" t="str">
        <f t="shared" si="1"/>
        <v/>
      </c>
      <c r="E31" s="124">
        <f t="shared" si="2"/>
        <v>0</v>
      </c>
      <c r="F31" s="128"/>
      <c r="G31" s="133"/>
      <c r="J31" s="132"/>
      <c r="K31" s="132"/>
      <c r="L31" s="132"/>
    </row>
    <row r="32" spans="2:15" s="119" customFormat="1" x14ac:dyDescent="0.2">
      <c r="B32" s="126" t="s">
        <v>82</v>
      </c>
      <c r="C32" s="119" t="str">
        <f>IF(Schmälerungsverbot!GebDatW9&lt;&gt;"",KBZeitraumVon-Schmälerungsverbot!GebDatW9,"")</f>
        <v/>
      </c>
      <c r="D32" s="119" t="str">
        <f t="shared" si="1"/>
        <v/>
      </c>
      <c r="E32" s="124">
        <f t="shared" si="2"/>
        <v>0</v>
      </c>
      <c r="F32" s="128"/>
      <c r="G32" s="133"/>
      <c r="J32" s="132"/>
      <c r="K32" s="132"/>
      <c r="L32" s="132"/>
    </row>
    <row r="33" spans="2:12" s="119" customFormat="1" x14ac:dyDescent="0.2">
      <c r="B33" s="126" t="s">
        <v>83</v>
      </c>
      <c r="C33" s="119" t="str">
        <f>IF(Schmälerungsverbot!GebDatW10&lt;&gt;"",KBZeitraumVon-Schmälerungsverbot!GebDatW10,"")</f>
        <v/>
      </c>
      <c r="D33" s="119" t="str">
        <f t="shared" si="1"/>
        <v/>
      </c>
      <c r="E33" s="124">
        <f t="shared" si="2"/>
        <v>0</v>
      </c>
      <c r="F33" s="128"/>
      <c r="G33" s="133"/>
      <c r="J33" s="132"/>
      <c r="K33" s="132"/>
      <c r="L33" s="132"/>
    </row>
    <row r="34" spans="2:12" s="119" customFormat="1" x14ac:dyDescent="0.2">
      <c r="B34" s="126"/>
      <c r="C34" s="128"/>
      <c r="D34" s="128"/>
      <c r="E34" s="124"/>
      <c r="F34" s="128"/>
      <c r="G34" s="133"/>
      <c r="J34" s="132"/>
      <c r="K34" s="132"/>
      <c r="L34" s="132"/>
    </row>
    <row r="35" spans="2:12" x14ac:dyDescent="0.2">
      <c r="B35" s="134" t="s">
        <v>84</v>
      </c>
      <c r="D35" s="136">
        <v>150</v>
      </c>
    </row>
    <row r="37" spans="2:12" x14ac:dyDescent="0.2">
      <c r="B37" s="402" t="s">
        <v>414</v>
      </c>
      <c r="C37" s="138"/>
      <c r="D37" s="139">
        <v>1080</v>
      </c>
    </row>
    <row r="38" spans="2:12" x14ac:dyDescent="0.2">
      <c r="B38" s="402" t="s">
        <v>415</v>
      </c>
      <c r="C38" s="138"/>
      <c r="D38" s="139" t="s">
        <v>86</v>
      </c>
    </row>
    <row r="39" spans="2:12" x14ac:dyDescent="0.2">
      <c r="B39" s="402" t="s">
        <v>416</v>
      </c>
      <c r="C39" s="138"/>
      <c r="D39" s="139">
        <v>880</v>
      </c>
    </row>
    <row r="40" spans="2:12" x14ac:dyDescent="0.2">
      <c r="B40" s="367" t="s">
        <v>0</v>
      </c>
      <c r="C40" s="402" t="s">
        <v>417</v>
      </c>
      <c r="D40" s="139">
        <v>1200</v>
      </c>
    </row>
    <row r="41" spans="2:12" x14ac:dyDescent="0.2">
      <c r="B41" s="367" t="s">
        <v>413</v>
      </c>
      <c r="C41" s="403" t="s">
        <v>418</v>
      </c>
      <c r="D41" s="139">
        <v>1200</v>
      </c>
    </row>
    <row r="42" spans="2:12" x14ac:dyDescent="0.2">
      <c r="B42" s="367" t="s">
        <v>419</v>
      </c>
      <c r="C42" s="403" t="s">
        <v>420</v>
      </c>
      <c r="D42" s="139">
        <v>1300</v>
      </c>
    </row>
    <row r="43" spans="2:12" x14ac:dyDescent="0.2">
      <c r="B43" s="134" t="s">
        <v>85</v>
      </c>
      <c r="D43" s="136">
        <v>190</v>
      </c>
    </row>
    <row r="44" spans="2:12" x14ac:dyDescent="0.2">
      <c r="B44" s="134" t="s">
        <v>87</v>
      </c>
      <c r="D44" s="136">
        <v>190</v>
      </c>
    </row>
    <row r="45" spans="2:12" x14ac:dyDescent="0.2">
      <c r="B45" s="134" t="s">
        <v>88</v>
      </c>
      <c r="D45" s="136">
        <v>196</v>
      </c>
    </row>
    <row r="46" spans="2:12" x14ac:dyDescent="0.2">
      <c r="B46" s="134" t="s">
        <v>89</v>
      </c>
      <c r="D46" s="136">
        <v>221</v>
      </c>
    </row>
    <row r="49" spans="2:5" x14ac:dyDescent="0.2">
      <c r="B49" s="367"/>
      <c r="C49" s="371" t="s">
        <v>71</v>
      </c>
      <c r="D49" s="371" t="s">
        <v>72</v>
      </c>
      <c r="E49" s="371" t="s">
        <v>73</v>
      </c>
    </row>
    <row r="50" spans="2:5" x14ac:dyDescent="0.2">
      <c r="B50" s="372" t="s">
        <v>1</v>
      </c>
      <c r="C50" s="371" t="str">
        <f>IF(Schmälerungsverbot!E149&lt;&gt;"",KBZeitraumVon-Schmälerungsverbot!E149,"")</f>
        <v/>
      </c>
      <c r="D50" s="373" t="str">
        <f>IF(C50&lt;&gt;"",IF(C50&gt;=6574,4,0),"")</f>
        <v/>
      </c>
      <c r="E50" s="373">
        <f>IF(D50=4,F21,0)</f>
        <v>0</v>
      </c>
    </row>
    <row r="51" spans="2:5" x14ac:dyDescent="0.2">
      <c r="B51" s="372" t="s">
        <v>2</v>
      </c>
      <c r="C51" s="371" t="str">
        <f>IF(Schmälerungsverbot!E150&lt;&gt;"",KBZeitraumVon-Schmälerungsverbot!E150,"")</f>
        <v/>
      </c>
      <c r="D51" s="373" t="str">
        <f>IF(C51&lt;&gt;"",IF(C51&gt;=6574,4,0),"")</f>
        <v/>
      </c>
      <c r="E51" s="373">
        <f>IF(D51=4,F21,0)</f>
        <v>0</v>
      </c>
    </row>
    <row r="52" spans="2:5" x14ac:dyDescent="0.2">
      <c r="B52" s="372" t="s">
        <v>3</v>
      </c>
      <c r="C52" s="371" t="str">
        <f>IF(Schmälerungsverbot!E151&lt;&gt;"",KBZeitraumVon-Schmälerungsverbot!E151,"")</f>
        <v/>
      </c>
      <c r="D52" s="373" t="str">
        <f>IF(C52&lt;&gt;"",IF(C52&gt;=6574,4,0),"")</f>
        <v/>
      </c>
      <c r="E52" s="373">
        <f>IF(D52=4,F21,0)</f>
        <v>0</v>
      </c>
    </row>
    <row r="53" spans="2:5" x14ac:dyDescent="0.2">
      <c r="B53" s="372" t="s">
        <v>4</v>
      </c>
      <c r="C53" s="371" t="str">
        <f>IF(Schmälerungsverbot!E152&lt;&gt;"",KBZeitraumVon-Schmälerungsverbot!E152,"")</f>
        <v/>
      </c>
      <c r="D53" s="373" t="str">
        <f>IF(C53&lt;&gt;"",IF(C53&gt;=6574,4,0),"")</f>
        <v/>
      </c>
      <c r="E53" s="373">
        <f>IF(D53=4,F21,0)</f>
        <v>0</v>
      </c>
    </row>
  </sheetData>
  <sheetProtection selectLockedCells="1"/>
  <phoneticPr fontId="39" type="noConversion"/>
  <printOptions horizontalCentered="1" verticalCentered="1"/>
  <pageMargins left="0.78740157480314965" right="0.78740157480314965" top="0.98425196850393704" bottom="0.98425196850393704" header="0.51181102362204722" footer="0.51181102362204722"/>
  <pageSetup paperSize="9" orientation="landscape" horizontalDpi="1200" verticalDpi="1200" r:id="rId1"/>
  <headerFooter alignWithMargins="0">
    <oddFooter>&amp;R&amp;8&amp;F
&amp;A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52</vt:i4>
      </vt:variant>
    </vt:vector>
  </HeadingPairs>
  <TitlesOfParts>
    <vt:vector size="60" baseType="lpstr">
      <vt:lpstr>Hauptberechnung</vt:lpstr>
      <vt:lpstr>Einkommen selbst. Tätigkeit</vt:lpstr>
      <vt:lpstr>Schmälerungsverbot</vt:lpstr>
      <vt:lpstr>INFO - Kostenbeitragstabelle</vt:lpstr>
      <vt:lpstr>INFO - Düsseldorfer Tabelle</vt:lpstr>
      <vt:lpstr>Dropdownfelder</vt:lpstr>
      <vt:lpstr>KBParameter</vt:lpstr>
      <vt:lpstr>DTParameter</vt:lpstr>
      <vt:lpstr>AnzahlUHBerechtigte</vt:lpstr>
      <vt:lpstr>Arbeitstage</vt:lpstr>
      <vt:lpstr>BeitragsstufeKB</vt:lpstr>
      <vt:lpstr>BetreutePersonMatrix</vt:lpstr>
      <vt:lpstr>Dropdown_Antrag93_4</vt:lpstr>
      <vt:lpstr>Dropdown_BetreutePerson</vt:lpstr>
      <vt:lpstr>Dropdown_Schmälerung</vt:lpstr>
      <vt:lpstr>Dropdown_Urlaubsgeld</vt:lpstr>
      <vt:lpstr>Dropdown_Weihnachtsgeld</vt:lpstr>
      <vt:lpstr>DTParameter!Druckbereich</vt:lpstr>
      <vt:lpstr>'Einkommen selbst. Tätigkeit'!Druckbereich</vt:lpstr>
      <vt:lpstr>Hauptberechnung!Druckbereich</vt:lpstr>
      <vt:lpstr>'INFO - Düsseldorfer Tabelle'!Druckbereich</vt:lpstr>
      <vt:lpstr>'INFO - Kostenbeitragstabelle'!Druckbereich</vt:lpstr>
      <vt:lpstr>Schmälerungsverbot!Druckbereich</vt:lpstr>
      <vt:lpstr>'Einkommen selbst. Tätigkeit'!Drucktitel</vt:lpstr>
      <vt:lpstr>Hauptberechnung!Drucktitel</vt:lpstr>
      <vt:lpstr>Schmälerungsverbot!Drucktitel</vt:lpstr>
      <vt:lpstr>EKJahresGesamt</vt:lpstr>
      <vt:lpstr>EKJahressumme</vt:lpstr>
      <vt:lpstr>EKMonate</vt:lpstr>
      <vt:lpstr>EKMonatssumme</vt:lpstr>
      <vt:lpstr>EKZeitraumBis</vt:lpstr>
      <vt:lpstr>EKZeitraumMatrix</vt:lpstr>
      <vt:lpstr>EKZeitraumVon</vt:lpstr>
      <vt:lpstr>EndgültigeEKGruppe</vt:lpstr>
      <vt:lpstr>EntfernungArbeit</vt:lpstr>
      <vt:lpstr>FestzusetzenderKB</vt:lpstr>
      <vt:lpstr>GebDatJM</vt:lpstr>
      <vt:lpstr>Schmälerungsverbot!GebDatW1</vt:lpstr>
      <vt:lpstr>Schmälerungsverbot!GebDatW10</vt:lpstr>
      <vt:lpstr>Schmälerungsverbot!GebDatW2</vt:lpstr>
      <vt:lpstr>Schmälerungsverbot!GebDatW3</vt:lpstr>
      <vt:lpstr>Schmälerungsverbot!GebDatW4</vt:lpstr>
      <vt:lpstr>Schmälerungsverbot!GebDatW5</vt:lpstr>
      <vt:lpstr>Schmälerungsverbot!GebDatW6</vt:lpstr>
      <vt:lpstr>Schmälerungsverbot!GebDatW7</vt:lpstr>
      <vt:lpstr>Schmälerungsverbot!GebDatW8</vt:lpstr>
      <vt:lpstr>Schmälerungsverbot!GebDatW9</vt:lpstr>
      <vt:lpstr>KBZeitraumVon</vt:lpstr>
      <vt:lpstr>KGKind1</vt:lpstr>
      <vt:lpstr>KGKind2</vt:lpstr>
      <vt:lpstr>KGKind3</vt:lpstr>
      <vt:lpstr>KGKind4</vt:lpstr>
      <vt:lpstr>KM_Pauschale</vt:lpstr>
      <vt:lpstr>NameJM</vt:lpstr>
      <vt:lpstr>NamePflichtiger</vt:lpstr>
      <vt:lpstr>SchmälerungMatrix</vt:lpstr>
      <vt:lpstr>UrlaubsgeldMatrix</vt:lpstr>
      <vt:lpstr>VorläufigeEKGruppe</vt:lpstr>
      <vt:lpstr>VorläufigerKB</vt:lpstr>
      <vt:lpstr>WeihnachtsgeldMatrix</vt:lpstr>
    </vt:vector>
  </TitlesOfParts>
  <Company>Landratsamt Main-Taunus-Kreis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Uwe Weidner</dc:creator>
  <cp:lastModifiedBy>Uwe Weidner</cp:lastModifiedBy>
  <cp:lastPrinted>2015-07-03T06:43:50Z</cp:lastPrinted>
  <dcterms:created xsi:type="dcterms:W3CDTF">2013-09-06T07:22:40Z</dcterms:created>
  <dcterms:modified xsi:type="dcterms:W3CDTF">2018-03-20T10:46:19Z</dcterms:modified>
</cp:coreProperties>
</file>